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idtowncabinets986-my.sharepoint.com/personal/ron_midtowncabinets_com/Documents/Ron Wilburn Personal Smartvault/Wilburn CPA Admin/Marketing/2026/"/>
    </mc:Choice>
  </mc:AlternateContent>
  <xr:revisionPtr revIDLastSave="0" documentId="8_{6397D611-5972-419D-880B-897572449CC4}" xr6:coauthVersionLast="47" xr6:coauthVersionMax="47" xr10:uidLastSave="{00000000-0000-0000-0000-000000000000}"/>
  <bookViews>
    <workbookView xWindow="-120" yWindow="-120" windowWidth="29040" windowHeight="16440" tabRatio="500" xr2:uid="{00000000-000D-0000-FFFF-FFFF00000000}"/>
  </bookViews>
  <sheets>
    <sheet name="START HERE" sheetId="1" r:id="rId1"/>
    <sheet name="Assumptions" sheetId="2" r:id="rId2"/>
    <sheet name="Job Tracker" sheetId="3" r:id="rId3"/>
    <sheet name="Cash Flow Forecast" sheetId="4" r:id="rId4"/>
    <sheet name="Dashboard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6" i="5" l="1"/>
  <c r="D13" i="5"/>
  <c r="B9" i="5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C50" i="4"/>
  <c r="P50" i="4" s="1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P42" i="4"/>
  <c r="P41" i="4"/>
  <c r="P36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P28" i="4"/>
  <c r="N25" i="4"/>
  <c r="M25" i="4"/>
  <c r="L25" i="4"/>
  <c r="K25" i="4"/>
  <c r="J25" i="4"/>
  <c r="I25" i="4"/>
  <c r="H25" i="4"/>
  <c r="G25" i="4"/>
  <c r="F25" i="4"/>
  <c r="E25" i="4"/>
  <c r="D25" i="4"/>
  <c r="C25" i="4"/>
  <c r="P24" i="4"/>
  <c r="P23" i="4"/>
  <c r="P22" i="4"/>
  <c r="P21" i="4"/>
  <c r="O20" i="4"/>
  <c r="O25" i="4" s="1"/>
  <c r="N20" i="4"/>
  <c r="M20" i="4"/>
  <c r="L20" i="4"/>
  <c r="K20" i="4"/>
  <c r="J20" i="4"/>
  <c r="I20" i="4"/>
  <c r="H20" i="4"/>
  <c r="G20" i="4"/>
  <c r="F20" i="4"/>
  <c r="E20" i="4"/>
  <c r="D20" i="4"/>
  <c r="C20" i="4"/>
  <c r="P20" i="4" s="1"/>
  <c r="P19" i="4"/>
  <c r="P15" i="4"/>
  <c r="G49" i="3"/>
  <c r="F19" i="3"/>
  <c r="K18" i="3"/>
  <c r="I18" i="3"/>
  <c r="H18" i="3"/>
  <c r="J18" i="3" s="1"/>
  <c r="K17" i="3"/>
  <c r="I17" i="3"/>
  <c r="H17" i="3"/>
  <c r="K16" i="3"/>
  <c r="I16" i="3"/>
  <c r="H16" i="3"/>
  <c r="K15" i="3"/>
  <c r="I15" i="3"/>
  <c r="H15" i="3"/>
  <c r="K14" i="3"/>
  <c r="I14" i="3"/>
  <c r="H14" i="3"/>
  <c r="K13" i="3"/>
  <c r="I13" i="3"/>
  <c r="H13" i="3"/>
  <c r="K12" i="3"/>
  <c r="I12" i="3"/>
  <c r="H12" i="3"/>
  <c r="K11" i="3"/>
  <c r="I11" i="3"/>
  <c r="H11" i="3"/>
  <c r="K10" i="3"/>
  <c r="I10" i="3"/>
  <c r="H10" i="3"/>
  <c r="K9" i="3"/>
  <c r="I9" i="3"/>
  <c r="H9" i="3"/>
  <c r="C8" i="2"/>
  <c r="M8" i="4" s="1"/>
  <c r="P29" i="4" l="1"/>
  <c r="J10" i="3"/>
  <c r="J15" i="3"/>
  <c r="J9" i="3"/>
  <c r="J13" i="3"/>
  <c r="J17" i="3"/>
  <c r="J14" i="3"/>
  <c r="J16" i="3"/>
  <c r="J12" i="3"/>
  <c r="K19" i="3"/>
  <c r="H19" i="3"/>
  <c r="I19" i="3"/>
  <c r="J8" i="4"/>
  <c r="J40" i="4" s="1"/>
  <c r="J44" i="4" s="1"/>
  <c r="K8" i="4"/>
  <c r="K33" i="4" s="1"/>
  <c r="C8" i="4"/>
  <c r="C35" i="4" s="1"/>
  <c r="D8" i="4"/>
  <c r="D13" i="4" s="1"/>
  <c r="E8" i="4"/>
  <c r="E13" i="4" s="1"/>
  <c r="H8" i="4"/>
  <c r="H40" i="4" s="1"/>
  <c r="H44" i="4" s="1"/>
  <c r="P43" i="4"/>
  <c r="I8" i="4"/>
  <c r="I11" i="4" s="1"/>
  <c r="M40" i="4"/>
  <c r="M44" i="4" s="1"/>
  <c r="M35" i="4"/>
  <c r="M33" i="4"/>
  <c r="M31" i="4"/>
  <c r="M12" i="4"/>
  <c r="M11" i="4"/>
  <c r="M13" i="4"/>
  <c r="M14" i="4"/>
  <c r="M34" i="4"/>
  <c r="M32" i="4"/>
  <c r="M30" i="4"/>
  <c r="F8" i="4"/>
  <c r="G8" i="4"/>
  <c r="P25" i="4"/>
  <c r="J11" i="3"/>
  <c r="L8" i="4"/>
  <c r="N8" i="4"/>
  <c r="O8" i="4"/>
  <c r="K11" i="4" l="1"/>
  <c r="J19" i="3"/>
  <c r="K34" i="4"/>
  <c r="K31" i="4"/>
  <c r="C31" i="4"/>
  <c r="K40" i="4"/>
  <c r="K44" i="4" s="1"/>
  <c r="K35" i="4"/>
  <c r="C40" i="4"/>
  <c r="C44" i="4" s="1"/>
  <c r="J34" i="4"/>
  <c r="J35" i="4"/>
  <c r="J32" i="4"/>
  <c r="H11" i="4"/>
  <c r="D12" i="4"/>
  <c r="C13" i="4"/>
  <c r="C11" i="4"/>
  <c r="D40" i="4"/>
  <c r="D44" i="4" s="1"/>
  <c r="J13" i="4"/>
  <c r="D11" i="4"/>
  <c r="E12" i="4"/>
  <c r="E34" i="4"/>
  <c r="I31" i="4"/>
  <c r="C12" i="4"/>
  <c r="H35" i="4"/>
  <c r="J11" i="4"/>
  <c r="H33" i="4"/>
  <c r="C34" i="4"/>
  <c r="H31" i="4"/>
  <c r="H32" i="4"/>
  <c r="K14" i="4"/>
  <c r="E32" i="4"/>
  <c r="D35" i="4"/>
  <c r="J14" i="4"/>
  <c r="D31" i="4"/>
  <c r="D32" i="4"/>
  <c r="E40" i="4"/>
  <c r="E44" i="4" s="1"/>
  <c r="C32" i="4"/>
  <c r="C33" i="4"/>
  <c r="D14" i="4"/>
  <c r="J30" i="4"/>
  <c r="C14" i="4"/>
  <c r="K13" i="4"/>
  <c r="E33" i="4"/>
  <c r="H34" i="4"/>
  <c r="D34" i="4"/>
  <c r="I30" i="4"/>
  <c r="E31" i="4"/>
  <c r="H30" i="4"/>
  <c r="E30" i="4"/>
  <c r="J33" i="4"/>
  <c r="I13" i="4"/>
  <c r="J31" i="4"/>
  <c r="D30" i="4"/>
  <c r="E35" i="4"/>
  <c r="H13" i="4"/>
  <c r="D33" i="4"/>
  <c r="C30" i="4"/>
  <c r="I35" i="4"/>
  <c r="I12" i="4"/>
  <c r="K12" i="4"/>
  <c r="I33" i="4"/>
  <c r="I34" i="4"/>
  <c r="J12" i="4"/>
  <c r="K32" i="4"/>
  <c r="I14" i="4"/>
  <c r="E11" i="4"/>
  <c r="K30" i="4"/>
  <c r="I40" i="4"/>
  <c r="I44" i="4" s="1"/>
  <c r="I32" i="4"/>
  <c r="H12" i="4"/>
  <c r="H14" i="4"/>
  <c r="E14" i="4"/>
  <c r="N35" i="4"/>
  <c r="N33" i="4"/>
  <c r="N31" i="4"/>
  <c r="N11" i="4"/>
  <c r="N12" i="4"/>
  <c r="N13" i="4"/>
  <c r="N14" i="4"/>
  <c r="N34" i="4"/>
  <c r="N32" i="4"/>
  <c r="N30" i="4"/>
  <c r="N40" i="4"/>
  <c r="N44" i="4" s="1"/>
  <c r="G13" i="4"/>
  <c r="G11" i="4"/>
  <c r="G32" i="4"/>
  <c r="G35" i="4"/>
  <c r="G40" i="4"/>
  <c r="G44" i="4" s="1"/>
  <c r="G33" i="4"/>
  <c r="G30" i="4"/>
  <c r="G31" i="4"/>
  <c r="G14" i="4"/>
  <c r="G12" i="4"/>
  <c r="G34" i="4"/>
  <c r="F13" i="4"/>
  <c r="F11" i="4"/>
  <c r="F33" i="4"/>
  <c r="F40" i="4"/>
  <c r="F44" i="4" s="1"/>
  <c r="F35" i="4"/>
  <c r="F31" i="4"/>
  <c r="F34" i="4"/>
  <c r="F32" i="4"/>
  <c r="F30" i="4"/>
  <c r="F14" i="4"/>
  <c r="F12" i="4"/>
  <c r="L14" i="4"/>
  <c r="L40" i="4"/>
  <c r="L44" i="4" s="1"/>
  <c r="L35" i="4"/>
  <c r="L33" i="4"/>
  <c r="L31" i="4"/>
  <c r="L11" i="4"/>
  <c r="L12" i="4"/>
  <c r="L13" i="4"/>
  <c r="L34" i="4"/>
  <c r="L32" i="4"/>
  <c r="L30" i="4"/>
  <c r="M37" i="4"/>
  <c r="M46" i="4" s="1"/>
  <c r="O35" i="4"/>
  <c r="O40" i="4"/>
  <c r="O44" i="4" s="1"/>
  <c r="O13" i="4"/>
  <c r="O14" i="4"/>
  <c r="O12" i="4"/>
  <c r="O11" i="4"/>
  <c r="O33" i="4"/>
  <c r="O31" i="4"/>
  <c r="O34" i="4"/>
  <c r="O32" i="4"/>
  <c r="O30" i="4"/>
  <c r="M16" i="4"/>
  <c r="J37" i="4" l="1"/>
  <c r="J46" i="4" s="1"/>
  <c r="D16" i="4"/>
  <c r="C16" i="4"/>
  <c r="J16" i="4"/>
  <c r="I16" i="4"/>
  <c r="C37" i="4"/>
  <c r="C46" i="4" s="1"/>
  <c r="H37" i="4"/>
  <c r="H46" i="4" s="1"/>
  <c r="I37" i="4"/>
  <c r="I46" i="4" s="1"/>
  <c r="K37" i="4"/>
  <c r="K46" i="4" s="1"/>
  <c r="H16" i="4"/>
  <c r="K16" i="4"/>
  <c r="D37" i="4"/>
  <c r="D46" i="4" s="1"/>
  <c r="E37" i="4"/>
  <c r="E46" i="4" s="1"/>
  <c r="E16" i="4"/>
  <c r="P33" i="4"/>
  <c r="P31" i="4"/>
  <c r="L37" i="4"/>
  <c r="L46" i="4" s="1"/>
  <c r="L16" i="4"/>
  <c r="P35" i="4"/>
  <c r="P11" i="4"/>
  <c r="P13" i="4"/>
  <c r="O37" i="4"/>
  <c r="O46" i="4" s="1"/>
  <c r="G16" i="4"/>
  <c r="N37" i="4"/>
  <c r="N46" i="4" s="1"/>
  <c r="N16" i="4"/>
  <c r="P32" i="4"/>
  <c r="P44" i="4"/>
  <c r="P40" i="4"/>
  <c r="P12" i="4"/>
  <c r="P14" i="4"/>
  <c r="F37" i="4"/>
  <c r="F46" i="4" s="1"/>
  <c r="P30" i="4"/>
  <c r="O16" i="4"/>
  <c r="F16" i="4"/>
  <c r="G37" i="4"/>
  <c r="G46" i="4" s="1"/>
  <c r="M48" i="4"/>
  <c r="P34" i="4"/>
  <c r="J48" i="4" l="1"/>
  <c r="D48" i="4"/>
  <c r="F48" i="4"/>
  <c r="L48" i="4"/>
  <c r="K48" i="4"/>
  <c r="H48" i="4"/>
  <c r="I48" i="4"/>
  <c r="E48" i="4"/>
  <c r="O48" i="4"/>
  <c r="N48" i="4"/>
  <c r="G48" i="4"/>
  <c r="P16" i="4"/>
  <c r="F9" i="5" s="1"/>
  <c r="P46" i="4"/>
  <c r="H9" i="5" s="1"/>
  <c r="P37" i="4"/>
  <c r="C48" i="4"/>
  <c r="P48" i="4" l="1"/>
  <c r="C51" i="4"/>
  <c r="C26" i="5" l="1"/>
  <c r="D50" i="4"/>
  <c r="D51" i="4" s="1"/>
  <c r="C53" i="4"/>
  <c r="B13" i="5"/>
  <c r="P51" i="4"/>
  <c r="H28" i="5" s="1"/>
  <c r="D26" i="5" l="1"/>
  <c r="D53" i="4"/>
  <c r="E50" i="4"/>
  <c r="E51" i="4" s="1"/>
  <c r="E26" i="5" l="1"/>
  <c r="F50" i="4"/>
  <c r="F51" i="4" s="1"/>
  <c r="E53" i="4"/>
  <c r="G50" i="4" l="1"/>
  <c r="G51" i="4" s="1"/>
  <c r="F53" i="4"/>
  <c r="F26" i="5"/>
  <c r="G26" i="5" l="1"/>
  <c r="G53" i="4"/>
  <c r="H50" i="4"/>
  <c r="H51" i="4" s="1"/>
  <c r="H53" i="4" l="1"/>
  <c r="H26" i="5"/>
  <c r="I50" i="4"/>
  <c r="I51" i="4" s="1"/>
  <c r="I53" i="4" l="1"/>
  <c r="B28" i="5"/>
  <c r="J50" i="4"/>
  <c r="J51" i="4" s="1"/>
  <c r="J53" i="4" l="1"/>
  <c r="C28" i="5"/>
  <c r="K50" i="4"/>
  <c r="K51" i="4" s="1"/>
  <c r="K53" i="4" l="1"/>
  <c r="D28" i="5"/>
  <c r="L50" i="4"/>
  <c r="L51" i="4" s="1"/>
  <c r="E28" i="5" l="1"/>
  <c r="M50" i="4"/>
  <c r="M51" i="4" s="1"/>
  <c r="L53" i="4"/>
  <c r="N50" i="4" l="1"/>
  <c r="N51" i="4" s="1"/>
  <c r="F28" i="5"/>
  <c r="M53" i="4"/>
  <c r="G28" i="5" l="1"/>
  <c r="O50" i="4"/>
  <c r="O51" i="4" s="1"/>
  <c r="N53" i="4"/>
  <c r="D9" i="5" l="1"/>
  <c r="O53" i="4"/>
  <c r="H22" i="5"/>
  <c r="B22" i="5"/>
  <c r="D22" i="5"/>
  <c r="F22" i="5"/>
</calcChain>
</file>

<file path=xl/sharedStrings.xml><?xml version="1.0" encoding="utf-8"?>
<sst xmlns="http://schemas.openxmlformats.org/spreadsheetml/2006/main" count="211" uniqueCount="175">
  <si>
    <t>Ronald J. Wilburn CPA</t>
  </si>
  <si>
    <t>13-Week Cash Flow Forecast</t>
  </si>
  <si>
    <t>Built for Construction &amp; Trade Service Companies | $1M–$15M Revenue</t>
  </si>
  <si>
    <t xml:space="preserve">  WHAT THIS TOOL DOES</t>
  </si>
  <si>
    <t>This spreadsheet gives you a rolling 13-week (90-day) view of your cash position. It's built specifically for construction contractors and trade service businesses with $1M–$15M in revenue. Update it weekly and you'll always know whether you have enough cash to cover payroll, subs, and materials — before a problem becomes a crisis.</t>
  </si>
  <si>
    <t xml:space="preserve">  HOW TO USE THIS WORKBOOK</t>
  </si>
  <si>
    <t>Tab: START HERE</t>
  </si>
  <si>
    <t>You're here. Read this first. Return anytime to review instructions.</t>
  </si>
  <si>
    <t>Tab: Assumptions</t>
  </si>
  <si>
    <t>Enter starting cash, minimum threshold, payroll burden %, your fixed costs with the day each clears the bank, and any non-monthly items. Every field here changes a number in the forecast.</t>
  </si>
  <si>
    <t>Tab: Cash Flow Forecast</t>
  </si>
  <si>
    <t>The main 13-week forecast. Cash inflows pull automatically from the Job Tracker schedule by date; outflows are entered by week. Totals and ending cash calculate automatically.</t>
  </si>
  <si>
    <t>Tab: Job Tracker</t>
  </si>
  <si>
    <t>Two parts: a Contracts reference table, and an Expected Cash Receipts schedule. Enter each expected receipt with its date — it flows straight into the forecast week it lands in.</t>
  </si>
  <si>
    <t>Tab: Dashboard</t>
  </si>
  <si>
    <t>One-page visual summary: cash position, lowest cash week, and key warnings.</t>
  </si>
  <si>
    <t xml:space="preserve">  COLOR CODING GUIDE</t>
  </si>
  <si>
    <t>Blue text / cells</t>
  </si>
  <si>
    <t>YOUR INPUTS — enter or change these. Everything else calculates automatically.</t>
  </si>
  <si>
    <t>Black text</t>
  </si>
  <si>
    <t>Formulas and calculated values — do not type over these.</t>
  </si>
  <si>
    <t>Green text</t>
  </si>
  <si>
    <t>Values pulled from another tab in this workbook.</t>
  </si>
  <si>
    <t>Orange / shaded rows</t>
  </si>
  <si>
    <t>Section headers and totals — do not edit.</t>
  </si>
  <si>
    <t>Yellow highlight</t>
  </si>
  <si>
    <t>Attention needed, or ending cash is below your minimum threshold.</t>
  </si>
  <si>
    <t xml:space="preserve">  CONSTRUCTION-SPECIFIC TIPS</t>
  </si>
  <si>
    <t>Retainage</t>
  </si>
  <si>
    <t>Track retainage receivable separately in the Job Tracker. Real money, just slow money. Include expected release dates.</t>
  </si>
  <si>
    <t>Draw Schedule</t>
  </si>
  <si>
    <t>Enter each draw in the Job Tracker schedule with the date you expect the cash to actually hit the bank. It lands in that forecast week automatically.</t>
  </si>
  <si>
    <t>Payroll Burden</t>
  </si>
  <si>
    <t>Burden (taxes + benefits) auto-calculates on BOTH field labor and office payroll using your rate in Assumptions.</t>
  </si>
  <si>
    <t>Fixed Cost Timing</t>
  </si>
  <si>
    <t>Rent, insurance, fleet, loan: enter each amount once on Assumptions plus the day of the month it clears the bank. It lands on the real payment dates — not smeared across weeks — so the forecast matches your bank.</t>
  </si>
  <si>
    <t>Non-Monthly Items</t>
  </si>
  <si>
    <t>Annual premiums, quarterly taxes, bonuses: enter them in the 'Periodic / Non-Monthly Items' section of Assumptions with the week they hit — they'll land in the right week automatically.</t>
  </si>
  <si>
    <t>Slow Weeks</t>
  </si>
  <si>
    <t>If ending cash drops below your minimum threshold, the cell turns yellow. Act before the week arrives.</t>
  </si>
  <si>
    <t xml:space="preserve">  NEED HELP OR WANT A CUSTOM ANALYSIS?</t>
  </si>
  <si>
    <t>This tool was created by Ronald J. Wilburn CPA. If you'd like help setting it up, want a deeper cash flow analysis, or are ready to talk about outsourced CFO services — schedule a free discovery call below.</t>
  </si>
  <si>
    <t>👉  Schedule Your Free Discovery Call: wilburncpa.wordpress.com</t>
  </si>
  <si>
    <t>© Ronald J. Wilburn CPA  |  For client use only  |  Not for resale</t>
  </si>
  <si>
    <t>13-Week Cash Flow — Assumptions</t>
  </si>
  <si>
    <t xml:space="preserve">  STARTING POSITION</t>
  </si>
  <si>
    <t>Forecast Start Date</t>
  </si>
  <si>
    <t>First Monday of your forecast period</t>
  </si>
  <si>
    <t>Starting Cash Balance ($)</t>
  </si>
  <si>
    <t>Actual bank balance on start date</t>
  </si>
  <si>
    <t>Minimum Cash Threshold ($)</t>
  </si>
  <si>
    <t>Alert triggers if ending cash falls below this</t>
  </si>
  <si>
    <t xml:space="preserve">  PAYROLL BURDEN</t>
  </si>
  <si>
    <t>Payroll Tax &amp; Benefits (%)</t>
  </si>
  <si>
    <t>Applied to field + office payroll you enter on the forecast</t>
  </si>
  <si>
    <t xml:space="preserve">  OVERHEAD &amp; FIXED COSTS</t>
  </si>
  <si>
    <t>Enter each cost's monthly amount and the day of the month it clears your bank (1–31). The full payment is placed in whichever week contains that date — so each cost appears about 3 times across the 13 weeks, on its actual payment dates, matching your bank activity. If a month is shorter than the day you enter (e.g. 31 in February), it clears on the last day of that month.</t>
  </si>
  <si>
    <t>Fixed Cost</t>
  </si>
  <si>
    <t>Monthly Amount ($)</t>
  </si>
  <si>
    <t>Day of Month Paid (1–31)</t>
  </si>
  <si>
    <t>Rent / Yard</t>
  </si>
  <si>
    <t>Insurance (GL, WC, Auto, Builder's Risk)</t>
  </si>
  <si>
    <t>Equipment / Fleet</t>
  </si>
  <si>
    <t>Utilities</t>
  </si>
  <si>
    <t>Software / Admin</t>
  </si>
  <si>
    <t>Other Fixed Monthly</t>
  </si>
  <si>
    <t xml:space="preserve">  DEBT &amp; FINANCING</t>
  </si>
  <si>
    <t>Loan / Equipment Payment(s)</t>
  </si>
  <si>
    <t xml:space="preserve">  PERIODIC / NON-MONTHLY ITEMS  (one-time or lumpy outflows)</t>
  </si>
  <si>
    <t>Description</t>
  </si>
  <si>
    <t>Amount ($)</t>
  </si>
  <si>
    <t>Week # (1–13)</t>
  </si>
  <si>
    <t>e.g. Annual GL Insurance Premium</t>
  </si>
  <si>
    <t>e.g. Q2 Estimated Tax Payment</t>
  </si>
  <si>
    <t>e.g. Equipment Down Payment</t>
  </si>
  <si>
    <t>Enter the amount and the week number (1–13) each item hits. It will drop into that week automatically on the forecast. Leave week blank to exclude.</t>
  </si>
  <si>
    <t>⚠  Blue cells are YOUR inputs. Do not edit any other cells on this tab.</t>
  </si>
  <si>
    <t>Job Tracker &amp; Expected Cash Receipts</t>
  </si>
  <si>
    <t xml:space="preserve">  CONTRACTS  (reference — billed / collected / AR auto-summarized from the schedule below)</t>
  </si>
  <si>
    <t>#</t>
  </si>
  <si>
    <t>Job / Contract Name</t>
  </si>
  <si>
    <t>Contract Date</t>
  </si>
  <si>
    <t>Est. Completion</t>
  </si>
  <si>
    <t>Contract Value ($)</t>
  </si>
  <si>
    <t>Retainage %</t>
  </si>
  <si>
    <t>Scheduled Receipts ($)</t>
  </si>
  <si>
    <t>Collected ($)</t>
  </si>
  <si>
    <t>Still to Collect ($)</t>
  </si>
  <si>
    <t>Retainage Held ($)</t>
  </si>
  <si>
    <t>TOTALS</t>
  </si>
  <si>
    <t xml:space="preserve">  EXPECTED CASH RECEIPTS SCHEDULE  ▶ drives the weekly cash inflows on the forecast</t>
  </si>
  <si>
    <t>One row per expected receipt. Enter the Job, Type, the date you bill/submit, the date you expect the cash to hit the bank, and the amount. Each receipt lands in the forecast week containing its Expected Cash Date. Mark 'Received? = Yes' once collected — those drop out of the future forecast (they're already in your bank balance). Tip: for a draw with retainage, enter the net draw as 'Progress Draw' and the held-back amount as a 'Retainage' line on its expected release date.</t>
  </si>
  <si>
    <t>Receipt Type</t>
  </si>
  <si>
    <t>Date Billed / Submitted</t>
  </si>
  <si>
    <t>Expected Cash Date</t>
  </si>
  <si>
    <t>Received?</t>
  </si>
  <si>
    <t>TOTAL SCHEDULED</t>
  </si>
  <si>
    <t>⚠  Blue = your inputs. Green = auto-summarized. Receipts flow to the forecast by Expected Cash Date. Items dated before the forecast start are treated as already past — re-date overdue items to a current week to include them.</t>
  </si>
  <si>
    <t>13-Week Cash Flow Forecast — Construction &amp; Trade Services</t>
  </si>
  <si>
    <t>Blue = your inputs  |  Black = formulas  |  Green = pulled from other tabs  |  Yellow = below minimum cash</t>
  </si>
  <si>
    <t>Category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</si>
  <si>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</si>
  <si>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</si>
  <si>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</si>
  <si>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</si>
  <si>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</si>
  <si>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</si>
  <si>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</si>
  <si>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</si>
  <si>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</si>
  <si>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</si>
  <si>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</si>
  <si>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</si>
  <si>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</si>
  <si>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13-Wk TOTAL</t>
  </si>
  <si>
    <t>▼  CASH INFLOWS</t>
  </si>
  <si>
    <t>Progress Draws Collected (from schedule)</t>
  </si>
  <si>
    <t>Retainage Released (from schedule)</t>
  </si>
  <si>
    <t>T&amp;M / Service Collected (from schedule)</t>
  </si>
  <si>
    <t>Material / Change Order Receipts (from schedule)</t>
  </si>
  <si>
    <t>Other Cash In (manual: deposits, owner equity, LOC, refunds)</t>
  </si>
  <si>
    <t>TOTAL CASH INFLOWS</t>
  </si>
  <si>
    <t>▼  CASH OUTFLOWS — DIRECT JOB COSTS</t>
  </si>
  <si>
    <t>Field / Direct Labor Payroll</t>
  </si>
  <si>
    <t xml:space="preserve">  Field Payroll Burden (auto from Assumptions)</t>
  </si>
  <si>
    <t>Subcontractor Payments</t>
  </si>
  <si>
    <t>Materials &amp; Supplies</t>
  </si>
  <si>
    <t>Job Equipment Rental / Small Tools</t>
  </si>
  <si>
    <t>Other Direct Job Costs</t>
  </si>
  <si>
    <t>TOTAL DIRECT JOB COST OUTFLOWS</t>
  </si>
  <si>
    <t>▼  CASH OUTFLOWS — OVERHEAD &amp; OPERATING</t>
  </si>
  <si>
    <t>Office / Management Payroll</t>
  </si>
  <si>
    <t xml:space="preserve">  Office Payroll Burden (auto from Assumptions)</t>
  </si>
  <si>
    <t xml:space="preserve">  Rent / Yard (auto — on pay date)</t>
  </si>
  <si>
    <t xml:space="preserve">  Insurance (auto — on pay date)</t>
  </si>
  <si>
    <t xml:space="preserve">  Fleet / Equipment (auto — on pay date)</t>
  </si>
  <si>
    <t xml:space="preserve">  Utilities (auto — on pay date)</t>
  </si>
  <si>
    <t xml:space="preserve">  Software / Admin (auto — on pay date)</t>
  </si>
  <si>
    <t xml:space="preserve">  Other Fixed (auto — on pay date)</t>
  </si>
  <si>
    <t>Other Overhead / Miscellaneous</t>
  </si>
  <si>
    <t>TOTAL OVERHEAD OUTFLOWS</t>
  </si>
  <si>
    <t>▼  CASH OUTFLOWS — DEBT, TAX &amp; PERIODIC ITEMS</t>
  </si>
  <si>
    <t xml:space="preserve">  Loan / Equipment Payment (auto — on pay date)</t>
  </si>
  <si>
    <t>Estimated Tax Payments</t>
  </si>
  <si>
    <t>Owner Draws / Distributions</t>
  </si>
  <si>
    <t xml:space="preserve">  Periodic / Non-Monthly Items (auto from Assumptions)</t>
  </si>
  <si>
    <t>TOTAL DEBT, TAX &amp; PERIODIC OUTFLOWS</t>
  </si>
  <si>
    <t>TOTAL CASH OUTFLOWS (ALL)</t>
  </si>
  <si>
    <t>NET CASH FLOW (Inflows − Outflows)</t>
  </si>
  <si>
    <t>BEGINNING CASH BALANCE</t>
  </si>
  <si>
    <t>ENDING CASH BALANCE</t>
  </si>
  <si>
    <t>Minimum Cash Threshold (from Assumptions)</t>
  </si>
  <si>
    <t>⚠  Cash Alert (Below Minimum?)</t>
  </si>
  <si>
    <t>⚠  Blue cells = your weekly inputs. Green = pulled from Assumptions. Do not edit formula cells (black text).</t>
  </si>
  <si>
    <t xml:space="preserve">   wilburncpa.wordpress.com  |  Questions? Schedule a discovery call.</t>
  </si>
  <si>
    <t>Cash Flow Dashboard — 13-Week Summary</t>
  </si>
  <si>
    <t>Starting Cash</t>
  </si>
  <si>
    <t>Ending Cash (Wk 13)</t>
  </si>
  <si>
    <t>Total Inflows</t>
  </si>
  <si>
    <t>Total Outflows</t>
  </si>
  <si>
    <t>Net Cash Flow</t>
  </si>
  <si>
    <t>Minimum Threshold</t>
  </si>
  <si>
    <t>LOWEST CASH WEEK</t>
  </si>
  <si>
    <t>Lowest Ending Cash ($)</t>
  </si>
  <si>
    <t>Week Number</t>
  </si>
  <si>
    <t>Below Minimum?</t>
  </si>
  <si>
    <t>Weeks Below Minimum</t>
  </si>
  <si>
    <t>WEEKLY ENDING CASH SUMMARY</t>
  </si>
  <si>
    <t>Total</t>
  </si>
  <si>
    <t>Schedule a Discovery Call: wilburncpa.wordpress.com</t>
  </si>
  <si>
    <t>Smith Kitchen Remodel</t>
  </si>
  <si>
    <t>Progress Draw</t>
  </si>
  <si>
    <t>Jones Master Bathroom</t>
  </si>
  <si>
    <t>No</t>
  </si>
  <si>
    <t>Jones Kitchen Remodel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</si>
</sst>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/dd/yy"/>
    <numFmt numFmtId="165" formatCode="\$#,##0;&quot;($&quot;#,##0\);\-"/>
    <numFmt numFmtId="166" formatCode="0.0%;\(0.0%\);\-"/>
    <numFmt numFmtId="167" formatCode="mm/dd/yyyy"/>
    <numFmt numFmtId="168" formatCode="mmm\ dd"/>
  </numFmts>
  <fonts count="32" x14ac:knownFonts="1">
    <font>
      <sz val="11"/>
      <color theme="1"/>
      <name val="Calibri"/>
      <family val="2"/>
      <charset val="1"/>
    </font>
    <font>
      <b/>
      <sz val="20"/>
      <color rgb="FFFFFFFF"/>
      <name val="Arial"/>
      <charset val="1"/>
    </font>
    <font>
      <b/>
      <sz val="14"/>
      <color rgb="FFFFFFFF"/>
      <name val="Arial"/>
      <charset val="1"/>
    </font>
    <font>
      <i/>
      <sz val="11"/>
      <color rgb="FFFFFFFF"/>
      <name val="Arial"/>
      <charset val="1"/>
    </font>
    <font>
      <b/>
      <sz val="12"/>
      <color rgb="FFFFFFFF"/>
      <name val="Arial"/>
      <charset val="1"/>
    </font>
    <font>
      <sz val="11"/>
      <color rgb="FF2C2C2C"/>
      <name val="Arial"/>
      <charset val="1"/>
    </font>
    <font>
      <b/>
      <sz val="11"/>
      <color rgb="FFE8621A"/>
      <name val="Arial"/>
      <charset val="1"/>
    </font>
    <font>
      <b/>
      <u/>
      <sz val="13"/>
      <color rgb="FFE8621A"/>
      <name val="Arial"/>
      <charset val="1"/>
    </font>
    <font>
      <i/>
      <sz val="9"/>
      <color rgb="FF999999"/>
      <name val="Arial"/>
      <charset val="1"/>
    </font>
    <font>
      <b/>
      <sz val="16"/>
      <color rgb="FFFFFFFF"/>
      <name val="Arial"/>
      <charset val="1"/>
    </font>
    <font>
      <b/>
      <sz val="11"/>
      <color rgb="FFFFFFFF"/>
      <name val="Arial"/>
      <charset val="1"/>
    </font>
    <font>
      <b/>
      <sz val="11"/>
      <color rgb="FF0000FF"/>
      <name val="Arial"/>
      <charset val="1"/>
    </font>
    <font>
      <i/>
      <sz val="10"/>
      <color rgb="FF666666"/>
      <name val="Arial"/>
      <charset val="1"/>
    </font>
    <font>
      <b/>
      <sz val="9"/>
      <color rgb="FFFFFFFF"/>
      <name val="Arial"/>
      <charset val="1"/>
    </font>
    <font>
      <b/>
      <sz val="10"/>
      <color rgb="FFFFFFFF"/>
      <name val="Arial"/>
      <charset val="1"/>
    </font>
    <font>
      <sz val="11"/>
      <color rgb="FF0000FF"/>
      <name val="Arial"/>
      <charset val="1"/>
    </font>
    <font>
      <b/>
      <i/>
      <sz val="10"/>
      <color rgb="FFE8621A"/>
      <name val="Arial"/>
      <charset val="1"/>
    </font>
    <font>
      <sz val="10"/>
      <color rgb="FF999999"/>
      <name val="Arial"/>
      <charset val="1"/>
    </font>
    <font>
      <sz val="11"/>
      <color rgb="FF008000"/>
      <name val="Arial"/>
      <charset val="1"/>
    </font>
    <font>
      <i/>
      <sz val="10"/>
      <color rgb="FFE8621A"/>
      <name val="Arial"/>
      <charset val="1"/>
    </font>
    <font>
      <i/>
      <sz val="9"/>
      <color rgb="FFFFFFFF"/>
      <name val="Arial"/>
      <charset val="1"/>
    </font>
    <font>
      <b/>
      <sz val="10"/>
      <color rgb="FFE8621A"/>
      <name val="Arial"/>
      <charset val="1"/>
    </font>
    <font>
      <sz val="10"/>
      <color rgb="FF008000"/>
      <name val="Arial"/>
      <charset val="1"/>
    </font>
    <font>
      <b/>
      <sz val="10"/>
      <color rgb="FF008000"/>
      <name val="Arial"/>
      <charset val="1"/>
    </font>
    <font>
      <sz val="10"/>
      <color rgb="FF2C2C2C"/>
      <name val="Arial"/>
      <charset val="1"/>
    </font>
    <font>
      <sz val="10"/>
      <color rgb="FF0000FF"/>
      <name val="Arial"/>
      <charset val="1"/>
    </font>
    <font>
      <b/>
      <sz val="10"/>
      <color rgb="FF2C2C2C"/>
      <name val="Arial"/>
      <charset val="1"/>
    </font>
    <font>
      <i/>
      <sz val="10"/>
      <color rgb="FF008000"/>
      <name val="Arial"/>
      <charset val="1"/>
    </font>
    <font>
      <b/>
      <sz val="10"/>
      <color rgb="FFFF0000"/>
      <name val="Arial"/>
      <charset val="1"/>
    </font>
    <font>
      <i/>
      <u/>
      <sz val="10"/>
      <color rgb="FF0000FF"/>
      <name val="Arial"/>
      <charset val="1"/>
    </font>
    <font>
      <b/>
      <sz val="12"/>
      <color rgb="FF2C2C2C"/>
      <name val="Arial"/>
      <charset val="1"/>
    </font>
    <font>
      <b/>
      <u/>
      <sz val="11"/>
      <color rgb="FFE8621A"/>
      <name val="Arial"/>
      <charset val="1"/>
    </font>
  </fonts>
  <fills count="13">
    <fill>
      <patternFill patternType="none"/>
    </fill>
    <fill>
      <patternFill patternType="gray125"/>
    </fill>
    <fill>
      <patternFill patternType="solid">
        <fgColor rgb="FFE8621A"/>
        <bgColor rgb="FFFF8080"/>
      </patternFill>
    </fill>
    <fill>
      <patternFill patternType="solid">
        <fgColor rgb="FF2C2C2C"/>
        <bgColor rgb="FF003300"/>
      </patternFill>
    </fill>
    <fill>
      <patternFill patternType="solid">
        <fgColor rgb="FFF5F5F5"/>
        <bgColor rgb="FFEBF3FB"/>
      </patternFill>
    </fill>
    <fill>
      <patternFill patternType="solid">
        <fgColor rgb="FFEBF3FB"/>
        <bgColor rgb="FFF5F5F5"/>
      </patternFill>
    </fill>
    <fill>
      <patternFill patternType="solid">
        <fgColor rgb="FF4A4A4A"/>
        <bgColor rgb="FF666666"/>
      </patternFill>
    </fill>
    <fill>
      <patternFill patternType="solid">
        <fgColor rgb="FFFFFFFF"/>
        <bgColor rgb="FFF5F5F5"/>
      </patternFill>
    </fill>
    <fill>
      <patternFill patternType="solid">
        <fgColor rgb="FFFAD5BC"/>
        <bgColor rgb="FFD9D9D9"/>
      </patternFill>
    </fill>
    <fill>
      <patternFill patternType="solid">
        <fgColor rgb="FF2E7D32"/>
        <bgColor rgb="FF008000"/>
      </patternFill>
    </fill>
    <fill>
      <patternFill patternType="solid">
        <fgColor rgb="FFB71C1C"/>
        <bgColor rgb="FF993366"/>
      </patternFill>
    </fill>
    <fill>
      <patternFill patternType="solid">
        <fgColor rgb="FF666666"/>
        <bgColor rgb="FF808080"/>
      </patternFill>
    </fill>
    <fill>
      <patternFill patternType="solid">
        <fgColor rgb="FFD9D9D9"/>
        <bgColor rgb="FFFAD5BC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E8621A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E8621A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92">
    <xf numFmtId="0" fontId="0" fillId="0" borderId="0" xfId="0"/>
    <xf numFmtId="165" fontId="9" fillId="3" borderId="2" xfId="0" applyNumberFormat="1" applyFont="1" applyFill="1" applyBorder="1" applyAlignment="1">
      <alignment horizontal="center" vertical="center"/>
    </xf>
    <xf numFmtId="0" fontId="13" fillId="10" borderId="2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164" fontId="11" fillId="5" borderId="3" xfId="0" applyNumberFormat="1" applyFont="1" applyFill="1" applyBorder="1" applyAlignment="1">
      <alignment horizontal="right" vertical="center"/>
    </xf>
    <xf numFmtId="0" fontId="12" fillId="4" borderId="2" xfId="0" applyFont="1" applyFill="1" applyBorder="1" applyAlignment="1">
      <alignment horizontal="left" vertical="center" wrapText="1"/>
    </xf>
    <xf numFmtId="165" fontId="11" fillId="5" borderId="3" xfId="0" applyNumberFormat="1" applyFont="1" applyFill="1" applyBorder="1" applyAlignment="1">
      <alignment horizontal="right" vertical="center"/>
    </xf>
    <xf numFmtId="166" fontId="11" fillId="5" borderId="3" xfId="0" applyNumberFormat="1" applyFont="1" applyFill="1" applyBorder="1" applyAlignment="1">
      <alignment horizontal="right" vertical="center"/>
    </xf>
    <xf numFmtId="0" fontId="13" fillId="6" borderId="2" xfId="0" applyFont="1" applyFill="1" applyBorder="1" applyAlignment="1">
      <alignment horizontal="center" vertical="center" wrapText="1"/>
    </xf>
    <xf numFmtId="165" fontId="11" fillId="5" borderId="2" xfId="0" applyNumberFormat="1" applyFont="1" applyFill="1" applyBorder="1" applyAlignment="1">
      <alignment horizontal="right" vertical="center"/>
    </xf>
    <xf numFmtId="0" fontId="11" fillId="5" borderId="3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left" vertical="center"/>
    </xf>
    <xf numFmtId="165" fontId="15" fillId="5" borderId="2" xfId="0" applyNumberFormat="1" applyFont="1" applyFill="1" applyBorder="1" applyAlignment="1">
      <alignment horizontal="right" vertical="center"/>
    </xf>
    <xf numFmtId="0" fontId="15" fillId="5" borderId="2" xfId="0" applyFont="1" applyFill="1" applyBorder="1" applyAlignment="1">
      <alignment horizontal="center" vertical="center"/>
    </xf>
    <xf numFmtId="0" fontId="16" fillId="0" borderId="0" xfId="0" applyFont="1"/>
    <xf numFmtId="0" fontId="17" fillId="7" borderId="2" xfId="0" applyFont="1" applyFill="1" applyBorder="1" applyAlignment="1">
      <alignment horizontal="center" vertical="center"/>
    </xf>
    <xf numFmtId="0" fontId="15" fillId="5" borderId="2" xfId="0" applyFont="1" applyFill="1" applyBorder="1"/>
    <xf numFmtId="167" fontId="15" fillId="5" borderId="2" xfId="0" applyNumberFormat="1" applyFont="1" applyFill="1" applyBorder="1" applyAlignment="1">
      <alignment horizontal="center" vertical="center"/>
    </xf>
    <xf numFmtId="166" fontId="15" fillId="5" borderId="2" xfId="0" applyNumberFormat="1" applyFont="1" applyFill="1" applyBorder="1" applyAlignment="1">
      <alignment horizontal="right" vertical="center"/>
    </xf>
    <xf numFmtId="165" fontId="18" fillId="7" borderId="2" xfId="0" applyNumberFormat="1" applyFont="1" applyFill="1" applyBorder="1" applyAlignment="1">
      <alignment horizontal="right" vertical="center"/>
    </xf>
    <xf numFmtId="165" fontId="5" fillId="7" borderId="2" xfId="0" applyNumberFormat="1" applyFont="1" applyFill="1" applyBorder="1" applyAlignment="1">
      <alignment horizontal="right" vertical="center"/>
    </xf>
    <xf numFmtId="0" fontId="17" fillId="4" borderId="2" xfId="0" applyFont="1" applyFill="1" applyBorder="1" applyAlignment="1">
      <alignment horizontal="center" vertical="center"/>
    </xf>
    <xf numFmtId="165" fontId="18" fillId="4" borderId="2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0" fontId="0" fillId="3" borderId="2" xfId="0" applyFill="1" applyBorder="1"/>
    <xf numFmtId="0" fontId="10" fillId="3" borderId="2" xfId="0" applyFont="1" applyFill="1" applyBorder="1" applyAlignment="1">
      <alignment horizontal="right" vertical="center"/>
    </xf>
    <xf numFmtId="165" fontId="10" fillId="3" borderId="2" xfId="0" applyNumberFormat="1" applyFont="1" applyFill="1" applyBorder="1" applyAlignment="1">
      <alignment horizontal="right" vertical="center"/>
    </xf>
    <xf numFmtId="0" fontId="20" fillId="2" borderId="0" xfId="0" applyFont="1" applyFill="1" applyAlignment="1">
      <alignment horizontal="left" vertical="center"/>
    </xf>
    <xf numFmtId="168" fontId="13" fillId="3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left" vertical="center" indent="1"/>
    </xf>
    <xf numFmtId="165" fontId="22" fillId="4" borderId="2" xfId="0" applyNumberFormat="1" applyFont="1" applyFill="1" applyBorder="1" applyAlignment="1">
      <alignment horizontal="right" vertical="center"/>
    </xf>
    <xf numFmtId="165" fontId="23" fillId="4" borderId="2" xfId="0" applyNumberFormat="1" applyFont="1" applyFill="1" applyBorder="1" applyAlignment="1">
      <alignment horizontal="right" vertical="center"/>
    </xf>
    <xf numFmtId="0" fontId="22" fillId="8" borderId="2" xfId="0" applyFont="1" applyFill="1" applyBorder="1" applyAlignment="1">
      <alignment horizontal="left" vertical="center" indent="1"/>
    </xf>
    <xf numFmtId="165" fontId="22" fillId="8" borderId="2" xfId="0" applyNumberFormat="1" applyFont="1" applyFill="1" applyBorder="1" applyAlignment="1">
      <alignment horizontal="right" vertical="center"/>
    </xf>
    <xf numFmtId="165" fontId="23" fillId="8" borderId="2" xfId="0" applyNumberFormat="1" applyFont="1" applyFill="1" applyBorder="1" applyAlignment="1">
      <alignment horizontal="right" vertical="center"/>
    </xf>
    <xf numFmtId="0" fontId="24" fillId="4" borderId="2" xfId="0" applyFont="1" applyFill="1" applyBorder="1" applyAlignment="1">
      <alignment horizontal="left" vertical="center" indent="1"/>
    </xf>
    <xf numFmtId="165" fontId="25" fillId="5" borderId="2" xfId="0" applyNumberFormat="1" applyFont="1" applyFill="1" applyBorder="1" applyAlignment="1">
      <alignment horizontal="right" vertical="center"/>
    </xf>
    <xf numFmtId="165" fontId="26" fillId="4" borderId="2" xfId="0" applyNumberFormat="1" applyFont="1" applyFill="1" applyBorder="1" applyAlignment="1">
      <alignment horizontal="right" vertical="center"/>
    </xf>
    <xf numFmtId="0" fontId="10" fillId="3" borderId="2" xfId="0" applyFont="1" applyFill="1" applyBorder="1" applyAlignment="1">
      <alignment horizontal="left" vertical="center"/>
    </xf>
    <xf numFmtId="0" fontId="24" fillId="8" borderId="2" xfId="0" applyFont="1" applyFill="1" applyBorder="1" applyAlignment="1">
      <alignment horizontal="left" vertical="center" indent="1"/>
    </xf>
    <xf numFmtId="165" fontId="26" fillId="8" borderId="2" xfId="0" applyNumberFormat="1" applyFont="1" applyFill="1" applyBorder="1" applyAlignment="1">
      <alignment horizontal="right" vertical="center"/>
    </xf>
    <xf numFmtId="0" fontId="10" fillId="6" borderId="2" xfId="0" applyFont="1" applyFill="1" applyBorder="1" applyAlignment="1">
      <alignment horizontal="left" vertical="center"/>
    </xf>
    <xf numFmtId="165" fontId="10" fillId="6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5" fontId="4" fillId="2" borderId="2" xfId="0" applyNumberFormat="1" applyFont="1" applyFill="1" applyBorder="1" applyAlignment="1">
      <alignment horizontal="right" vertical="center"/>
    </xf>
    <xf numFmtId="0" fontId="27" fillId="4" borderId="2" xfId="0" applyFont="1" applyFill="1" applyBorder="1" applyAlignment="1">
      <alignment horizontal="left" vertical="center"/>
    </xf>
    <xf numFmtId="165" fontId="27" fillId="4" borderId="2" xfId="0" applyNumberFormat="1" applyFont="1" applyFill="1" applyBorder="1" applyAlignment="1">
      <alignment horizontal="right" vertical="center"/>
    </xf>
    <xf numFmtId="0" fontId="26" fillId="4" borderId="2" xfId="0" applyFont="1" applyFill="1" applyBorder="1" applyAlignment="1">
      <alignment horizontal="left" vertical="center"/>
    </xf>
    <xf numFmtId="0" fontId="28" fillId="4" borderId="2" xfId="0" applyFont="1" applyFill="1" applyBorder="1" applyAlignment="1">
      <alignment horizontal="center" vertical="center"/>
    </xf>
    <xf numFmtId="0" fontId="0" fillId="4" borderId="2" xfId="0" applyFill="1" applyBorder="1"/>
    <xf numFmtId="0" fontId="19" fillId="0" borderId="0" xfId="0" applyFont="1"/>
    <xf numFmtId="0" fontId="29" fillId="0" borderId="0" xfId="0" applyFont="1"/>
    <xf numFmtId="0" fontId="0" fillId="2" borderId="2" xfId="0" applyFill="1" applyBorder="1"/>
    <xf numFmtId="0" fontId="0" fillId="9" borderId="2" xfId="0" applyFill="1" applyBorder="1"/>
    <xf numFmtId="0" fontId="0" fillId="10" borderId="2" xfId="0" applyFill="1" applyBorder="1"/>
    <xf numFmtId="0" fontId="13" fillId="6" borderId="2" xfId="0" applyFont="1" applyFill="1" applyBorder="1" applyAlignment="1">
      <alignment horizontal="center" vertical="center"/>
    </xf>
    <xf numFmtId="0" fontId="0" fillId="6" borderId="2" xfId="0" applyFill="1" applyBorder="1"/>
    <xf numFmtId="0" fontId="0" fillId="11" borderId="2" xfId="0" applyFill="1" applyBorder="1"/>
    <xf numFmtId="165" fontId="9" fillId="2" borderId="2" xfId="0" applyNumberFormat="1" applyFont="1" applyFill="1" applyBorder="1" applyAlignment="1">
      <alignment horizontal="center" vertical="center"/>
    </xf>
    <xf numFmtId="165" fontId="9" fillId="9" borderId="2" xfId="0" applyNumberFormat="1" applyFont="1" applyFill="1" applyBorder="1" applyAlignment="1">
      <alignment horizontal="center" vertical="center"/>
    </xf>
    <xf numFmtId="165" fontId="9" fillId="10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11" borderId="2" xfId="0" applyFont="1" applyFill="1" applyBorder="1" applyAlignment="1">
      <alignment horizontal="center" vertical="center"/>
    </xf>
    <xf numFmtId="165" fontId="9" fillId="6" borderId="2" xfId="0" applyNumberFormat="1" applyFont="1" applyFill="1" applyBorder="1" applyAlignment="1">
      <alignment horizontal="center" vertical="center"/>
    </xf>
    <xf numFmtId="165" fontId="9" fillId="11" borderId="2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26" fillId="12" borderId="2" xfId="0" applyFont="1" applyFill="1" applyBorder="1" applyAlignment="1">
      <alignment horizontal="center" vertical="center" wrapText="1"/>
    </xf>
    <xf numFmtId="165" fontId="30" fillId="4" borderId="2" xfId="0" applyNumberFormat="1" applyFont="1" applyFill="1" applyBorder="1" applyAlignment="1">
      <alignment horizontal="center" vertical="center"/>
    </xf>
    <xf numFmtId="0" fontId="30" fillId="4" borderId="2" xfId="0" applyFont="1" applyFill="1" applyBorder="1" applyAlignment="1">
      <alignment horizontal="center" vertical="center"/>
    </xf>
    <xf numFmtId="0" fontId="31" fillId="0" borderId="0" xfId="0" applyFont="1" applyAlignment="1">
      <alignment horizontal="left" vertical="center"/>
    </xf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5F5"/>
      <rgbColor rgb="FFEBF3F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D5BC"/>
      <rgbColor rgb="FF3366FF"/>
      <rgbColor rgb="FF33CCCC"/>
      <rgbColor rgb="FF99CC00"/>
      <rgbColor rgb="FFFFCC00"/>
      <rgbColor rgb="FFFF9900"/>
      <rgbColor rgb="FFE8621A"/>
      <rgbColor rgb="FF666666"/>
      <rgbColor rgb="FF999999"/>
      <rgbColor rgb="FF003366"/>
      <rgbColor rgb="FF2E7D32"/>
      <rgbColor rgb="FF003300"/>
      <rgbColor rgb="FF4A4A4A"/>
      <rgbColor rgb="FFB71C1C"/>
      <rgbColor rgb="FF993366"/>
      <rgbColor rgb="FF333399"/>
      <rgbColor rgb="FF2C2C2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856800</xdr:colOff>
      <xdr:row>5</xdr:row>
      <xdr:rowOff>171000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123840"/>
          <a:ext cx="856800" cy="856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571320</xdr:colOff>
      <xdr:row>3</xdr:row>
      <xdr:rowOff>190440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95400"/>
          <a:ext cx="57132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218880</xdr:colOff>
      <xdr:row>3</xdr:row>
      <xdr:rowOff>190440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95400"/>
          <a:ext cx="57132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571320</xdr:colOff>
      <xdr:row>3</xdr:row>
      <xdr:rowOff>190440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1120" y="95400"/>
          <a:ext cx="57132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571320</xdr:colOff>
      <xdr:row>3</xdr:row>
      <xdr:rowOff>190440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95400"/>
          <a:ext cx="57132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ilburncpa.wordpress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ilburncpa.wordpres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8621A"/>
  </sheetPr>
  <dimension ref="A1:D40"/>
  <sheetViews>
    <sheetView showGridLines="0" tabSelected="1" zoomScaleNormal="100" workbookViewId="0">
      <selection activeCell="H11" sqref="H11"/>
    </sheetView>
  </sheetViews>
  <sheetFormatPr defaultColWidth="8.7109375" defaultRowHeight="15" x14ac:dyDescent="0.25"/>
  <cols>
    <col min="1" max="1" width="3" customWidth="1"/>
    <col min="2" max="2" width="28" customWidth="1"/>
    <col min="3" max="3" width="74.5703125" customWidth="1"/>
    <col min="4" max="4" width="3" customWidth="1"/>
  </cols>
  <sheetData>
    <row r="1" spans="1:4" ht="9.75" customHeight="1" x14ac:dyDescent="0.25"/>
    <row r="2" spans="1:4" ht="13.5" customHeight="1" x14ac:dyDescent="0.25">
      <c r="A2" s="13"/>
      <c r="B2" s="13"/>
      <c r="C2" s="13"/>
      <c r="D2" s="13"/>
    </row>
    <row r="3" spans="1:4" ht="13.5" customHeight="1" x14ac:dyDescent="0.25">
      <c r="A3" s="13"/>
      <c r="B3" s="13"/>
      <c r="C3" s="14" t="s">
        <v>0</v>
      </c>
      <c r="D3" s="13"/>
    </row>
    <row r="4" spans="1:4" ht="13.5" customHeight="1" x14ac:dyDescent="0.25">
      <c r="A4" s="13"/>
      <c r="B4" s="13"/>
      <c r="C4" s="13"/>
      <c r="D4" s="13"/>
    </row>
    <row r="5" spans="1:4" ht="13.5" customHeight="1" x14ac:dyDescent="0.25">
      <c r="A5" s="13"/>
      <c r="B5" s="13"/>
      <c r="C5" s="15" t="s">
        <v>1</v>
      </c>
      <c r="D5" s="13"/>
    </row>
    <row r="6" spans="1:4" ht="13.5" customHeight="1" x14ac:dyDescent="0.25">
      <c r="A6" s="13"/>
      <c r="B6" s="13"/>
      <c r="C6" s="13"/>
      <c r="D6" s="13"/>
    </row>
    <row r="7" spans="1:4" ht="13.5" customHeight="1" x14ac:dyDescent="0.25">
      <c r="A7" s="13"/>
      <c r="B7" s="13"/>
      <c r="C7" s="16" t="s">
        <v>2</v>
      </c>
      <c r="D7" s="13"/>
    </row>
    <row r="8" spans="1:4" ht="13.5" customHeight="1" x14ac:dyDescent="0.25">
      <c r="A8" s="13"/>
      <c r="B8" s="13"/>
      <c r="C8" s="13"/>
      <c r="D8" s="13"/>
    </row>
    <row r="9" spans="1:4" ht="13.5" customHeight="1" x14ac:dyDescent="0.25">
      <c r="A9" s="13"/>
      <c r="B9" s="13"/>
      <c r="C9" s="13"/>
      <c r="D9" s="13"/>
    </row>
    <row r="11" spans="1:4" ht="21.75" customHeight="1" x14ac:dyDescent="0.25">
      <c r="B11" s="12" t="s">
        <v>3</v>
      </c>
      <c r="C11" s="12"/>
    </row>
    <row r="12" spans="1:4" ht="75.75" customHeight="1" x14ac:dyDescent="0.25">
      <c r="B12" s="11" t="s">
        <v>4</v>
      </c>
      <c r="C12" s="11"/>
    </row>
    <row r="14" spans="1:4" ht="21.75" customHeight="1" x14ac:dyDescent="0.25">
      <c r="B14" s="12" t="s">
        <v>5</v>
      </c>
      <c r="C14" s="12"/>
    </row>
    <row r="15" spans="1:4" ht="36" customHeight="1" x14ac:dyDescent="0.25">
      <c r="B15" s="18" t="s">
        <v>6</v>
      </c>
      <c r="C15" s="17" t="s">
        <v>7</v>
      </c>
    </row>
    <row r="16" spans="1:4" ht="60" customHeight="1" x14ac:dyDescent="0.25">
      <c r="B16" s="18" t="s">
        <v>8</v>
      </c>
      <c r="C16" s="17" t="s">
        <v>9</v>
      </c>
    </row>
    <row r="17" spans="2:3" ht="69" customHeight="1" x14ac:dyDescent="0.25">
      <c r="B17" s="18" t="s">
        <v>10</v>
      </c>
      <c r="C17" s="17" t="s">
        <v>11</v>
      </c>
    </row>
    <row r="18" spans="2:3" ht="63.75" customHeight="1" x14ac:dyDescent="0.25">
      <c r="B18" s="18" t="s">
        <v>12</v>
      </c>
      <c r="C18" s="17" t="s">
        <v>13</v>
      </c>
    </row>
    <row r="19" spans="2:3" ht="36" customHeight="1" x14ac:dyDescent="0.25">
      <c r="B19" s="18" t="s">
        <v>14</v>
      </c>
      <c r="C19" s="17" t="s">
        <v>15</v>
      </c>
    </row>
    <row r="21" spans="2:3" ht="21.75" customHeight="1" x14ac:dyDescent="0.25">
      <c r="B21" s="12" t="s">
        <v>16</v>
      </c>
      <c r="C21" s="12"/>
    </row>
    <row r="22" spans="2:3" ht="36" customHeight="1" x14ac:dyDescent="0.25">
      <c r="B22" s="18" t="s">
        <v>17</v>
      </c>
      <c r="C22" s="17" t="s">
        <v>18</v>
      </c>
    </row>
    <row r="23" spans="2:3" ht="36" customHeight="1" x14ac:dyDescent="0.25">
      <c r="B23" s="18" t="s">
        <v>19</v>
      </c>
      <c r="C23" s="17" t="s">
        <v>20</v>
      </c>
    </row>
    <row r="24" spans="2:3" ht="36" customHeight="1" x14ac:dyDescent="0.25">
      <c r="B24" s="18" t="s">
        <v>21</v>
      </c>
      <c r="C24" s="17" t="s">
        <v>22</v>
      </c>
    </row>
    <row r="25" spans="2:3" ht="36" customHeight="1" x14ac:dyDescent="0.25">
      <c r="B25" s="18" t="s">
        <v>23</v>
      </c>
      <c r="C25" s="17" t="s">
        <v>24</v>
      </c>
    </row>
    <row r="26" spans="2:3" ht="36" customHeight="1" x14ac:dyDescent="0.25">
      <c r="B26" s="18" t="s">
        <v>25</v>
      </c>
      <c r="C26" s="17" t="s">
        <v>26</v>
      </c>
    </row>
    <row r="28" spans="2:3" ht="21.75" customHeight="1" x14ac:dyDescent="0.25">
      <c r="B28" s="12" t="s">
        <v>27</v>
      </c>
      <c r="C28" s="12"/>
    </row>
    <row r="29" spans="2:3" ht="36" customHeight="1" x14ac:dyDescent="0.25">
      <c r="B29" s="18" t="s">
        <v>28</v>
      </c>
      <c r="C29" s="17" t="s">
        <v>29</v>
      </c>
    </row>
    <row r="30" spans="2:3" ht="55.5" customHeight="1" x14ac:dyDescent="0.25">
      <c r="B30" s="18" t="s">
        <v>30</v>
      </c>
      <c r="C30" s="17" t="s">
        <v>31</v>
      </c>
    </row>
    <row r="31" spans="2:3" ht="36" customHeight="1" x14ac:dyDescent="0.25">
      <c r="B31" s="18" t="s">
        <v>32</v>
      </c>
      <c r="C31" s="17" t="s">
        <v>33</v>
      </c>
    </row>
    <row r="32" spans="2:3" ht="67.5" customHeight="1" x14ac:dyDescent="0.25">
      <c r="B32" s="18" t="s">
        <v>34</v>
      </c>
      <c r="C32" s="17" t="s">
        <v>35</v>
      </c>
    </row>
    <row r="33" spans="2:3" ht="61.5" customHeight="1" x14ac:dyDescent="0.25">
      <c r="B33" s="18" t="s">
        <v>36</v>
      </c>
      <c r="C33" s="17" t="s">
        <v>37</v>
      </c>
    </row>
    <row r="34" spans="2:3" ht="36" customHeight="1" x14ac:dyDescent="0.25">
      <c r="B34" s="18" t="s">
        <v>38</v>
      </c>
      <c r="C34" s="17" t="s">
        <v>39</v>
      </c>
    </row>
    <row r="36" spans="2:3" ht="21.75" customHeight="1" x14ac:dyDescent="0.25">
      <c r="B36" s="12" t="s">
        <v>40</v>
      </c>
      <c r="C36" s="12"/>
    </row>
    <row r="37" spans="2:3" ht="49.5" customHeight="1" x14ac:dyDescent="0.25">
      <c r="B37" s="11" t="s">
        <v>41</v>
      </c>
      <c r="C37" s="11"/>
    </row>
    <row r="38" spans="2:3" ht="27.75" customHeight="1" x14ac:dyDescent="0.25">
      <c r="B38" s="10" t="s">
        <v>42</v>
      </c>
      <c r="C38" s="10"/>
    </row>
    <row r="40" spans="2:3" ht="18" customHeight="1" x14ac:dyDescent="0.25">
      <c r="B40" s="9" t="s">
        <v>43</v>
      </c>
      <c r="C40" s="9"/>
    </row>
  </sheetData>
  <mergeCells count="9">
    <mergeCell ref="B36:C36"/>
    <mergeCell ref="B37:C37"/>
    <mergeCell ref="B38:C38"/>
    <mergeCell ref="B40:C40"/>
    <mergeCell ref="B11:C11"/>
    <mergeCell ref="B12:C12"/>
    <mergeCell ref="B14:C14"/>
    <mergeCell ref="B21:C21"/>
    <mergeCell ref="B28:C28"/>
  </mergeCells>
  <hyperlinks>
    <hyperlink ref="B38" r:id="rId1" xr:uid="{00000000-0004-0000-0000-000000000000}"/>
  </hyperlinks>
  <pageMargins left="0.75" right="0.75" top="1" bottom="1" header="0.511811023622047" footer="0.511811023622047"/>
  <pageSetup paperSize="9" orientation="portrait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C2C2C"/>
  </sheetPr>
  <dimension ref="A1:E41"/>
  <sheetViews>
    <sheetView showGridLines="0" zoomScaleNormal="100" workbookViewId="0">
      <selection activeCell="D21" sqref="D21"/>
    </sheetView>
  </sheetViews>
  <sheetFormatPr defaultColWidth="8.7109375" defaultRowHeight="15" x14ac:dyDescent="0.25"/>
  <cols>
    <col min="1" max="1" width="3" customWidth="1"/>
    <col min="2" max="2" width="38" customWidth="1"/>
    <col min="3" max="3" width="22" customWidth="1"/>
    <col min="4" max="4" width="32" customWidth="1"/>
    <col min="5" max="5" width="3" customWidth="1"/>
  </cols>
  <sheetData>
    <row r="1" spans="1:5" ht="7.5" customHeight="1" x14ac:dyDescent="0.25">
      <c r="A1" s="13"/>
      <c r="B1" s="13"/>
      <c r="C1" s="13"/>
      <c r="D1" s="13"/>
      <c r="E1" s="13"/>
    </row>
    <row r="2" spans="1:5" ht="15" customHeight="1" x14ac:dyDescent="0.25">
      <c r="A2" s="13"/>
      <c r="B2" s="13"/>
      <c r="C2" s="19" t="s">
        <v>0</v>
      </c>
      <c r="D2" s="13"/>
      <c r="E2" s="13"/>
    </row>
    <row r="3" spans="1:5" ht="15" customHeight="1" x14ac:dyDescent="0.25">
      <c r="A3" s="13"/>
      <c r="B3" s="13"/>
      <c r="C3" s="13"/>
      <c r="D3" s="13"/>
      <c r="E3" s="13"/>
    </row>
    <row r="4" spans="1:5" ht="15" customHeight="1" x14ac:dyDescent="0.25">
      <c r="A4" s="13"/>
      <c r="B4" s="13"/>
      <c r="C4" s="20" t="s">
        <v>44</v>
      </c>
      <c r="D4" s="13"/>
      <c r="E4" s="13"/>
    </row>
    <row r="5" spans="1:5" ht="15" customHeight="1" x14ac:dyDescent="0.25">
      <c r="A5" s="13"/>
      <c r="B5" s="13"/>
      <c r="C5" s="13"/>
      <c r="D5" s="13"/>
      <c r="E5" s="13"/>
    </row>
    <row r="7" spans="1:5" ht="19.5" customHeight="1" x14ac:dyDescent="0.25">
      <c r="B7" s="8" t="s">
        <v>45</v>
      </c>
      <c r="C7" s="8"/>
      <c r="D7" s="8"/>
    </row>
    <row r="8" spans="1:5" ht="18" customHeight="1" x14ac:dyDescent="0.25">
      <c r="B8" s="21" t="s">
        <v>46</v>
      </c>
      <c r="C8" s="22">
        <f ca="1">TODAY()</f>
        <v>46189</v>
      </c>
      <c r="D8" s="23" t="s">
        <v>47</v>
      </c>
    </row>
    <row r="9" spans="1:5" ht="18" customHeight="1" x14ac:dyDescent="0.25">
      <c r="B9" s="21" t="s">
        <v>48</v>
      </c>
      <c r="C9" s="24">
        <v>75000</v>
      </c>
      <c r="D9" s="23" t="s">
        <v>49</v>
      </c>
    </row>
    <row r="10" spans="1:5" ht="18" customHeight="1" x14ac:dyDescent="0.25">
      <c r="B10" s="21" t="s">
        <v>50</v>
      </c>
      <c r="C10" s="24">
        <v>25000</v>
      </c>
      <c r="D10" s="23" t="s">
        <v>51</v>
      </c>
    </row>
    <row r="12" spans="1:5" ht="19.5" customHeight="1" x14ac:dyDescent="0.25">
      <c r="B12" s="8" t="s">
        <v>52</v>
      </c>
      <c r="C12" s="8"/>
      <c r="D12" s="8"/>
    </row>
    <row r="13" spans="1:5" ht="18" customHeight="1" x14ac:dyDescent="0.25">
      <c r="B13" s="21" t="s">
        <v>53</v>
      </c>
      <c r="C13" s="25">
        <v>0.18</v>
      </c>
      <c r="D13" s="23" t="s">
        <v>54</v>
      </c>
    </row>
    <row r="15" spans="1:5" ht="19.5" customHeight="1" x14ac:dyDescent="0.25">
      <c r="B15" s="8" t="s">
        <v>55</v>
      </c>
      <c r="C15" s="8"/>
      <c r="D15" s="8"/>
    </row>
    <row r="16" spans="1:5" ht="42" customHeight="1" x14ac:dyDescent="0.25">
      <c r="B16" s="7" t="s">
        <v>56</v>
      </c>
      <c r="C16" s="7"/>
      <c r="D16" s="7"/>
    </row>
    <row r="17" spans="2:4" ht="15.75" customHeight="1" x14ac:dyDescent="0.25">
      <c r="B17" s="26" t="s">
        <v>57</v>
      </c>
      <c r="C17" s="26" t="s">
        <v>58</v>
      </c>
      <c r="D17" s="26" t="s">
        <v>59</v>
      </c>
    </row>
    <row r="18" spans="2:4" ht="18" customHeight="1" x14ac:dyDescent="0.25">
      <c r="B18" s="21" t="s">
        <v>60</v>
      </c>
      <c r="C18" s="27">
        <v>3500</v>
      </c>
      <c r="D18" s="28">
        <v>1</v>
      </c>
    </row>
    <row r="19" spans="2:4" ht="18" customHeight="1" x14ac:dyDescent="0.25">
      <c r="B19" s="21" t="s">
        <v>61</v>
      </c>
      <c r="C19" s="27">
        <v>2200</v>
      </c>
      <c r="D19" s="28">
        <v>15</v>
      </c>
    </row>
    <row r="20" spans="2:4" ht="18" customHeight="1" x14ac:dyDescent="0.25">
      <c r="B20" s="21" t="s">
        <v>62</v>
      </c>
      <c r="C20" s="27">
        <v>1800</v>
      </c>
      <c r="D20" s="28">
        <v>25</v>
      </c>
    </row>
    <row r="21" spans="2:4" ht="18" customHeight="1" x14ac:dyDescent="0.25">
      <c r="B21" s="21" t="s">
        <v>63</v>
      </c>
      <c r="C21" s="27">
        <v>600</v>
      </c>
      <c r="D21" s="28">
        <v>20</v>
      </c>
    </row>
    <row r="22" spans="2:4" ht="18" customHeight="1" x14ac:dyDescent="0.25">
      <c r="B22" s="21" t="s">
        <v>64</v>
      </c>
      <c r="C22" s="27">
        <v>400</v>
      </c>
      <c r="D22" s="28">
        <v>1</v>
      </c>
    </row>
    <row r="23" spans="2:4" ht="18" customHeight="1" x14ac:dyDescent="0.25">
      <c r="B23" s="21" t="s">
        <v>65</v>
      </c>
      <c r="C23" s="27">
        <v>0</v>
      </c>
      <c r="D23" s="28">
        <v>1</v>
      </c>
    </row>
    <row r="25" spans="2:4" ht="19.5" customHeight="1" x14ac:dyDescent="0.25">
      <c r="B25" s="8" t="s">
        <v>66</v>
      </c>
      <c r="C25" s="8"/>
      <c r="D25" s="8"/>
    </row>
    <row r="26" spans="2:4" ht="15.75" customHeight="1" x14ac:dyDescent="0.25">
      <c r="B26" s="26" t="s">
        <v>57</v>
      </c>
      <c r="C26" s="26" t="s">
        <v>58</v>
      </c>
      <c r="D26" s="26" t="s">
        <v>59</v>
      </c>
    </row>
    <row r="27" spans="2:4" ht="18" customHeight="1" x14ac:dyDescent="0.25">
      <c r="B27" s="21" t="s">
        <v>67</v>
      </c>
      <c r="C27" s="27">
        <v>2500</v>
      </c>
      <c r="D27" s="28">
        <v>10</v>
      </c>
    </row>
    <row r="29" spans="2:4" ht="19.5" customHeight="1" x14ac:dyDescent="0.25">
      <c r="B29" s="8" t="s">
        <v>68</v>
      </c>
      <c r="C29" s="8"/>
      <c r="D29" s="8"/>
    </row>
    <row r="30" spans="2:4" ht="18" customHeight="1" x14ac:dyDescent="0.25">
      <c r="B30" s="29" t="s">
        <v>69</v>
      </c>
      <c r="C30" s="29" t="s">
        <v>70</v>
      </c>
      <c r="D30" s="29" t="s">
        <v>71</v>
      </c>
    </row>
    <row r="31" spans="2:4" ht="16.5" customHeight="1" x14ac:dyDescent="0.25">
      <c r="B31" s="30" t="s">
        <v>72</v>
      </c>
      <c r="C31" s="31">
        <v>0</v>
      </c>
      <c r="D31" s="32"/>
    </row>
    <row r="32" spans="2:4" ht="16.5" customHeight="1" x14ac:dyDescent="0.25">
      <c r="B32" s="30" t="s">
        <v>73</v>
      </c>
      <c r="C32" s="31">
        <v>25000</v>
      </c>
      <c r="D32" s="32">
        <v>1</v>
      </c>
    </row>
    <row r="33" spans="2:4" ht="16.5" customHeight="1" x14ac:dyDescent="0.25">
      <c r="B33" s="30" t="s">
        <v>74</v>
      </c>
      <c r="C33" s="31">
        <v>0</v>
      </c>
      <c r="D33" s="32"/>
    </row>
    <row r="34" spans="2:4" ht="16.5" customHeight="1" x14ac:dyDescent="0.25">
      <c r="B34" s="30"/>
      <c r="C34" s="31">
        <v>0</v>
      </c>
      <c r="D34" s="32"/>
    </row>
    <row r="35" spans="2:4" ht="16.5" customHeight="1" x14ac:dyDescent="0.25">
      <c r="B35" s="30"/>
      <c r="C35" s="31">
        <v>0</v>
      </c>
      <c r="D35" s="32"/>
    </row>
    <row r="36" spans="2:4" ht="16.5" customHeight="1" x14ac:dyDescent="0.25">
      <c r="B36" s="30"/>
      <c r="C36" s="31">
        <v>0</v>
      </c>
      <c r="D36" s="32"/>
    </row>
    <row r="37" spans="2:4" ht="16.5" customHeight="1" x14ac:dyDescent="0.25">
      <c r="B37" s="30"/>
      <c r="C37" s="31">
        <v>0</v>
      </c>
      <c r="D37" s="32"/>
    </row>
    <row r="38" spans="2:4" ht="16.5" customHeight="1" x14ac:dyDescent="0.25">
      <c r="B38" s="30"/>
      <c r="C38" s="31">
        <v>0</v>
      </c>
      <c r="D38" s="32"/>
    </row>
    <row r="40" spans="2:4" ht="30" customHeight="1" x14ac:dyDescent="0.25">
      <c r="B40" s="7" t="s">
        <v>75</v>
      </c>
      <c r="C40" s="7"/>
      <c r="D40" s="7"/>
    </row>
    <row r="41" spans="2:4" x14ac:dyDescent="0.25">
      <c r="B41" s="33" t="s">
        <v>76</v>
      </c>
    </row>
  </sheetData>
  <mergeCells count="7">
    <mergeCell ref="B29:D29"/>
    <mergeCell ref="B40:D40"/>
    <mergeCell ref="B7:D7"/>
    <mergeCell ref="B12:D12"/>
    <mergeCell ref="B15:D15"/>
    <mergeCell ref="B16:D16"/>
    <mergeCell ref="B25:D25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C2C2C"/>
  </sheetPr>
  <dimension ref="A1:K51"/>
  <sheetViews>
    <sheetView showGridLines="0" zoomScaleNormal="100" workbookViewId="0">
      <selection activeCell="J28" sqref="J28"/>
    </sheetView>
  </sheetViews>
  <sheetFormatPr defaultColWidth="8.7109375" defaultRowHeight="15" x14ac:dyDescent="0.25"/>
  <cols>
    <col min="1" max="1" width="3" customWidth="1"/>
    <col min="2" max="2" width="5" customWidth="1"/>
    <col min="3" max="3" width="26" customWidth="1"/>
    <col min="4" max="4" width="17" customWidth="1"/>
    <col min="5" max="5" width="15" customWidth="1"/>
    <col min="6" max="6" width="16" customWidth="1"/>
    <col min="7" max="9" width="14" customWidth="1"/>
    <col min="10" max="11" width="15" customWidth="1"/>
    <col min="12" max="12" width="3" customWidth="1"/>
  </cols>
  <sheetData>
    <row r="1" spans="1:11" ht="7.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5" customHeight="1" x14ac:dyDescent="0.25">
      <c r="A2" s="13"/>
      <c r="B2" s="13"/>
      <c r="C2" s="13"/>
      <c r="D2" s="19" t="s">
        <v>0</v>
      </c>
      <c r="E2" s="13"/>
      <c r="F2" s="13"/>
      <c r="G2" s="13"/>
      <c r="H2" s="13"/>
      <c r="I2" s="13"/>
      <c r="J2" s="13"/>
      <c r="K2" s="13"/>
    </row>
    <row r="3" spans="1:11" ht="1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5" customHeight="1" x14ac:dyDescent="0.25">
      <c r="A4" s="13"/>
      <c r="B4" s="13"/>
      <c r="C4" s="13"/>
      <c r="D4" s="20" t="s">
        <v>77</v>
      </c>
      <c r="E4" s="13"/>
      <c r="F4" s="13"/>
      <c r="G4" s="13"/>
      <c r="H4" s="13"/>
      <c r="I4" s="13"/>
      <c r="J4" s="13"/>
      <c r="K4" s="13"/>
    </row>
    <row r="5" spans="1:11" ht="1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</row>
    <row r="7" spans="1:11" ht="19.5" customHeight="1" x14ac:dyDescent="0.25">
      <c r="B7" s="8" t="s">
        <v>78</v>
      </c>
      <c r="C7" s="8"/>
      <c r="D7" s="8"/>
      <c r="E7" s="8"/>
      <c r="F7" s="8"/>
      <c r="G7" s="8"/>
      <c r="H7" s="8"/>
      <c r="I7" s="8"/>
      <c r="J7" s="8"/>
      <c r="K7" s="8"/>
    </row>
    <row r="8" spans="1:11" ht="30" customHeight="1" x14ac:dyDescent="0.25">
      <c r="B8" s="26" t="s">
        <v>79</v>
      </c>
      <c r="C8" s="26" t="s">
        <v>80</v>
      </c>
      <c r="D8" s="26" t="s">
        <v>81</v>
      </c>
      <c r="E8" s="26" t="s">
        <v>82</v>
      </c>
      <c r="F8" s="26" t="s">
        <v>83</v>
      </c>
      <c r="G8" s="26" t="s">
        <v>84</v>
      </c>
      <c r="H8" s="26" t="s">
        <v>85</v>
      </c>
      <c r="I8" s="26" t="s">
        <v>86</v>
      </c>
      <c r="J8" s="26" t="s">
        <v>87</v>
      </c>
      <c r="K8" s="26" t="s">
        <v>88</v>
      </c>
    </row>
    <row r="9" spans="1:11" ht="18" customHeight="1" x14ac:dyDescent="0.25">
      <c r="B9" s="34">
        <v>1</v>
      </c>
      <c r="C9" s="35" t="s">
        <v>170</v>
      </c>
      <c r="D9" s="36">
        <v>46174</v>
      </c>
      <c r="E9" s="36">
        <v>46234</v>
      </c>
      <c r="F9" s="31">
        <v>300000</v>
      </c>
      <c r="G9" s="37">
        <v>0</v>
      </c>
      <c r="H9" s="38">
        <f t="shared" ref="H9:H18" si="0">SUMIFS($G$24:$G$48,$C$24:$C$48,C9)</f>
        <v>125000</v>
      </c>
      <c r="I9" s="38">
        <f t="shared" ref="I9:I18" si="1">SUMIFS($G$24:$G$48,$C$24:$C$48,C9,$H$24:$H$48,"Yes")</f>
        <v>0</v>
      </c>
      <c r="J9" s="39">
        <f t="shared" ref="J9:J18" si="2">H9-I9</f>
        <v>125000</v>
      </c>
      <c r="K9" s="39">
        <f t="shared" ref="K9:K18" si="3">F9*G9</f>
        <v>0</v>
      </c>
    </row>
    <row r="10" spans="1:11" ht="18" customHeight="1" x14ac:dyDescent="0.25">
      <c r="B10" s="40">
        <v>2</v>
      </c>
      <c r="C10" s="35" t="s">
        <v>172</v>
      </c>
      <c r="D10" s="36">
        <v>46162</v>
      </c>
      <c r="E10" s="36">
        <v>46213</v>
      </c>
      <c r="F10" s="31">
        <v>30000</v>
      </c>
      <c r="G10" s="37">
        <v>0</v>
      </c>
      <c r="H10" s="41">
        <f t="shared" si="0"/>
        <v>30000</v>
      </c>
      <c r="I10" s="41">
        <f t="shared" si="1"/>
        <v>0</v>
      </c>
      <c r="J10" s="42">
        <f t="shared" si="2"/>
        <v>30000</v>
      </c>
      <c r="K10" s="42">
        <f t="shared" si="3"/>
        <v>0</v>
      </c>
    </row>
    <row r="11" spans="1:11" ht="18" customHeight="1" x14ac:dyDescent="0.25">
      <c r="B11" s="34">
        <v>3</v>
      </c>
      <c r="C11" s="35" t="s">
        <v>174</v>
      </c>
      <c r="D11" s="36">
        <v>46174</v>
      </c>
      <c r="E11" s="36">
        <v>46234</v>
      </c>
      <c r="F11" s="31">
        <v>250000</v>
      </c>
      <c r="G11" s="37">
        <v>0</v>
      </c>
      <c r="H11" s="38">
        <f t="shared" si="0"/>
        <v>70000</v>
      </c>
      <c r="I11" s="38">
        <f t="shared" si="1"/>
        <v>0</v>
      </c>
      <c r="J11" s="39">
        <f t="shared" si="2"/>
        <v>70000</v>
      </c>
      <c r="K11" s="39">
        <f t="shared" si="3"/>
        <v>0</v>
      </c>
    </row>
    <row r="12" spans="1:11" ht="18" customHeight="1" x14ac:dyDescent="0.25">
      <c r="B12" s="40">
        <v>4</v>
      </c>
      <c r="C12" s="35"/>
      <c r="D12" s="36"/>
      <c r="E12" s="36"/>
      <c r="F12" s="31">
        <v>0</v>
      </c>
      <c r="G12" s="37">
        <v>0.1</v>
      </c>
      <c r="H12" s="41">
        <f t="shared" si="0"/>
        <v>0</v>
      </c>
      <c r="I12" s="41">
        <f t="shared" si="1"/>
        <v>0</v>
      </c>
      <c r="J12" s="42">
        <f t="shared" si="2"/>
        <v>0</v>
      </c>
      <c r="K12" s="42">
        <f t="shared" si="3"/>
        <v>0</v>
      </c>
    </row>
    <row r="13" spans="1:11" ht="18" customHeight="1" x14ac:dyDescent="0.25">
      <c r="B13" s="34">
        <v>5</v>
      </c>
      <c r="C13" s="35"/>
      <c r="D13" s="36"/>
      <c r="E13" s="36"/>
      <c r="F13" s="31">
        <v>0</v>
      </c>
      <c r="G13" s="37">
        <v>0.1</v>
      </c>
      <c r="H13" s="38">
        <f t="shared" si="0"/>
        <v>0</v>
      </c>
      <c r="I13" s="38">
        <f t="shared" si="1"/>
        <v>0</v>
      </c>
      <c r="J13" s="39">
        <f t="shared" si="2"/>
        <v>0</v>
      </c>
      <c r="K13" s="39">
        <f t="shared" si="3"/>
        <v>0</v>
      </c>
    </row>
    <row r="14" spans="1:11" ht="18" customHeight="1" x14ac:dyDescent="0.25">
      <c r="B14" s="40">
        <v>6</v>
      </c>
      <c r="C14" s="35"/>
      <c r="D14" s="36"/>
      <c r="E14" s="36"/>
      <c r="F14" s="31">
        <v>0</v>
      </c>
      <c r="G14" s="37">
        <v>0.1</v>
      </c>
      <c r="H14" s="41">
        <f t="shared" si="0"/>
        <v>0</v>
      </c>
      <c r="I14" s="41">
        <f t="shared" si="1"/>
        <v>0</v>
      </c>
      <c r="J14" s="42">
        <f t="shared" si="2"/>
        <v>0</v>
      </c>
      <c r="K14" s="42">
        <f t="shared" si="3"/>
        <v>0</v>
      </c>
    </row>
    <row r="15" spans="1:11" ht="18" customHeight="1" x14ac:dyDescent="0.25">
      <c r="B15" s="34">
        <v>7</v>
      </c>
      <c r="C15" s="35"/>
      <c r="D15" s="36"/>
      <c r="E15" s="36"/>
      <c r="F15" s="31">
        <v>0</v>
      </c>
      <c r="G15" s="37">
        <v>0.1</v>
      </c>
      <c r="H15" s="38">
        <f t="shared" si="0"/>
        <v>0</v>
      </c>
      <c r="I15" s="38">
        <f t="shared" si="1"/>
        <v>0</v>
      </c>
      <c r="J15" s="39">
        <f t="shared" si="2"/>
        <v>0</v>
      </c>
      <c r="K15" s="39">
        <f t="shared" si="3"/>
        <v>0</v>
      </c>
    </row>
    <row r="16" spans="1:11" ht="18" customHeight="1" x14ac:dyDescent="0.25">
      <c r="B16" s="40">
        <v>8</v>
      </c>
      <c r="C16" s="35"/>
      <c r="D16" s="36"/>
      <c r="E16" s="36"/>
      <c r="F16" s="31">
        <v>0</v>
      </c>
      <c r="G16" s="37">
        <v>0.1</v>
      </c>
      <c r="H16" s="41">
        <f t="shared" si="0"/>
        <v>0</v>
      </c>
      <c r="I16" s="41">
        <f t="shared" si="1"/>
        <v>0</v>
      </c>
      <c r="J16" s="42">
        <f t="shared" si="2"/>
        <v>0</v>
      </c>
      <c r="K16" s="42">
        <f t="shared" si="3"/>
        <v>0</v>
      </c>
    </row>
    <row r="17" spans="2:11" ht="18" customHeight="1" x14ac:dyDescent="0.25">
      <c r="B17" s="34">
        <v>9</v>
      </c>
      <c r="C17" s="35"/>
      <c r="D17" s="36"/>
      <c r="E17" s="36"/>
      <c r="F17" s="31">
        <v>0</v>
      </c>
      <c r="G17" s="37">
        <v>0.1</v>
      </c>
      <c r="H17" s="38">
        <f t="shared" si="0"/>
        <v>0</v>
      </c>
      <c r="I17" s="38">
        <f t="shared" si="1"/>
        <v>0</v>
      </c>
      <c r="J17" s="39">
        <f t="shared" si="2"/>
        <v>0</v>
      </c>
      <c r="K17" s="39">
        <f t="shared" si="3"/>
        <v>0</v>
      </c>
    </row>
    <row r="18" spans="2:11" ht="18" customHeight="1" x14ac:dyDescent="0.25">
      <c r="B18" s="40">
        <v>10</v>
      </c>
      <c r="C18" s="35"/>
      <c r="D18" s="36"/>
      <c r="E18" s="36"/>
      <c r="F18" s="31">
        <v>0</v>
      </c>
      <c r="G18" s="37">
        <v>0.1</v>
      </c>
      <c r="H18" s="41">
        <f t="shared" si="0"/>
        <v>0</v>
      </c>
      <c r="I18" s="41">
        <f t="shared" si="1"/>
        <v>0</v>
      </c>
      <c r="J18" s="42">
        <f t="shared" si="2"/>
        <v>0</v>
      </c>
      <c r="K18" s="42">
        <f t="shared" si="3"/>
        <v>0</v>
      </c>
    </row>
    <row r="19" spans="2:11" ht="19.5" customHeight="1" x14ac:dyDescent="0.25">
      <c r="B19" s="43"/>
      <c r="C19" s="44" t="s">
        <v>89</v>
      </c>
      <c r="D19" s="43"/>
      <c r="E19" s="43"/>
      <c r="F19" s="45">
        <f>SUM(F9:F18)</f>
        <v>580000</v>
      </c>
      <c r="G19" s="43"/>
      <c r="H19" s="45">
        <f>SUM(H9:H18)</f>
        <v>225000</v>
      </c>
      <c r="I19" s="45">
        <f>SUM(I9:I18)</f>
        <v>0</v>
      </c>
      <c r="J19" s="45">
        <f>SUM(J9:J18)</f>
        <v>225000</v>
      </c>
      <c r="K19" s="45">
        <f>SUM(K9:K18)</f>
        <v>0</v>
      </c>
    </row>
    <row r="21" spans="2:11" ht="19.5" customHeight="1" x14ac:dyDescent="0.25">
      <c r="B21" s="8" t="s">
        <v>90</v>
      </c>
      <c r="C21" s="8"/>
      <c r="D21" s="8"/>
      <c r="E21" s="8"/>
      <c r="F21" s="8"/>
      <c r="G21" s="8"/>
      <c r="H21" s="8"/>
    </row>
    <row r="22" spans="2:11" ht="42" customHeight="1" x14ac:dyDescent="0.25">
      <c r="B22" s="7" t="s">
        <v>91</v>
      </c>
      <c r="C22" s="7"/>
      <c r="D22" s="7"/>
      <c r="E22" s="7"/>
      <c r="F22" s="7"/>
      <c r="G22" s="7"/>
      <c r="H22" s="7"/>
      <c r="I22" s="7"/>
      <c r="J22" s="7"/>
      <c r="K22" s="7"/>
    </row>
    <row r="23" spans="2:11" ht="30" customHeight="1" x14ac:dyDescent="0.25">
      <c r="B23" s="26" t="s">
        <v>79</v>
      </c>
      <c r="C23" s="26" t="s">
        <v>80</v>
      </c>
      <c r="D23" s="26" t="s">
        <v>92</v>
      </c>
      <c r="E23" s="26" t="s">
        <v>93</v>
      </c>
      <c r="F23" s="26" t="s">
        <v>94</v>
      </c>
      <c r="G23" s="26" t="s">
        <v>70</v>
      </c>
      <c r="H23" s="26" t="s">
        <v>95</v>
      </c>
    </row>
    <row r="24" spans="2:11" ht="16.5" customHeight="1" x14ac:dyDescent="0.25">
      <c r="B24" s="40">
        <v>1</v>
      </c>
      <c r="C24" s="35" t="s">
        <v>170</v>
      </c>
      <c r="D24" s="32" t="s">
        <v>171</v>
      </c>
      <c r="E24" s="36">
        <v>46174</v>
      </c>
      <c r="F24" s="36">
        <v>46190</v>
      </c>
      <c r="G24" s="31">
        <v>50000</v>
      </c>
      <c r="H24" s="32" t="s">
        <v>173</v>
      </c>
    </row>
    <row r="25" spans="2:11" ht="16.5" customHeight="1" x14ac:dyDescent="0.25">
      <c r="B25" s="34">
        <v>2</v>
      </c>
      <c r="C25" s="35" t="s">
        <v>172</v>
      </c>
      <c r="D25" s="32" t="s">
        <v>171</v>
      </c>
      <c r="E25" s="36">
        <v>46173</v>
      </c>
      <c r="F25" s="36">
        <v>46193</v>
      </c>
      <c r="G25" s="31">
        <v>10000</v>
      </c>
      <c r="H25" s="32" t="s">
        <v>173</v>
      </c>
    </row>
    <row r="26" spans="2:11" ht="16.5" customHeight="1" x14ac:dyDescent="0.25">
      <c r="B26" s="40">
        <v>3</v>
      </c>
      <c r="C26" s="35" t="s">
        <v>174</v>
      </c>
      <c r="D26" s="32" t="s">
        <v>171</v>
      </c>
      <c r="E26" s="36">
        <v>46183</v>
      </c>
      <c r="F26" s="36">
        <v>46198</v>
      </c>
      <c r="G26" s="31">
        <v>70000</v>
      </c>
      <c r="H26" s="32" t="s">
        <v>173</v>
      </c>
    </row>
    <row r="27" spans="2:11" ht="16.5" customHeight="1" x14ac:dyDescent="0.25">
      <c r="B27" s="34">
        <v>4</v>
      </c>
      <c r="C27" s="35" t="s">
        <v>170</v>
      </c>
      <c r="D27" s="32" t="s">
        <v>171</v>
      </c>
      <c r="E27" s="36">
        <v>46188</v>
      </c>
      <c r="F27" s="36">
        <v>46195</v>
      </c>
      <c r="G27" s="31">
        <v>75000</v>
      </c>
      <c r="H27" s="32" t="s">
        <v>173</v>
      </c>
    </row>
    <row r="28" spans="2:11" ht="16.5" customHeight="1" x14ac:dyDescent="0.25">
      <c r="B28" s="40">
        <v>5</v>
      </c>
      <c r="C28" s="35" t="s">
        <v>172</v>
      </c>
      <c r="D28" s="32" t="s">
        <v>171</v>
      </c>
      <c r="E28" s="36">
        <v>46198</v>
      </c>
      <c r="F28" s="36">
        <v>46200</v>
      </c>
      <c r="G28" s="31">
        <v>20000</v>
      </c>
      <c r="H28" s="32" t="s">
        <v>173</v>
      </c>
    </row>
    <row r="29" spans="2:11" ht="16.5" customHeight="1" x14ac:dyDescent="0.25">
      <c r="B29" s="34">
        <v>6</v>
      </c>
      <c r="C29" s="35"/>
      <c r="D29" s="32"/>
      <c r="E29" s="36"/>
      <c r="F29" s="36"/>
      <c r="G29" s="31">
        <v>0</v>
      </c>
      <c r="H29" s="32"/>
    </row>
    <row r="30" spans="2:11" ht="16.5" customHeight="1" x14ac:dyDescent="0.25">
      <c r="B30" s="40">
        <v>7</v>
      </c>
      <c r="C30" s="35"/>
      <c r="D30" s="32"/>
      <c r="E30" s="36"/>
      <c r="F30" s="36"/>
      <c r="G30" s="31">
        <v>0</v>
      </c>
      <c r="H30" s="32"/>
    </row>
    <row r="31" spans="2:11" ht="16.5" customHeight="1" x14ac:dyDescent="0.25">
      <c r="B31" s="34">
        <v>8</v>
      </c>
      <c r="C31" s="35"/>
      <c r="D31" s="32"/>
      <c r="E31" s="36"/>
      <c r="F31" s="36"/>
      <c r="G31" s="31">
        <v>0</v>
      </c>
      <c r="H31" s="32"/>
    </row>
    <row r="32" spans="2:11" ht="16.5" customHeight="1" x14ac:dyDescent="0.25">
      <c r="B32" s="40">
        <v>9</v>
      </c>
      <c r="C32" s="35"/>
      <c r="D32" s="32"/>
      <c r="E32" s="36"/>
      <c r="F32" s="36"/>
      <c r="G32" s="31">
        <v>0</v>
      </c>
      <c r="H32" s="32"/>
    </row>
    <row r="33" spans="2:8" ht="16.5" customHeight="1" x14ac:dyDescent="0.25">
      <c r="B33" s="34">
        <v>10</v>
      </c>
      <c r="C33" s="35"/>
      <c r="D33" s="32"/>
      <c r="E33" s="36"/>
      <c r="F33" s="36"/>
      <c r="G33" s="31">
        <v>0</v>
      </c>
      <c r="H33" s="32"/>
    </row>
    <row r="34" spans="2:8" ht="16.5" customHeight="1" x14ac:dyDescent="0.25">
      <c r="B34" s="40">
        <v>11</v>
      </c>
      <c r="C34" s="35"/>
      <c r="D34" s="32"/>
      <c r="E34" s="36"/>
      <c r="F34" s="36"/>
      <c r="G34" s="31">
        <v>0</v>
      </c>
      <c r="H34" s="32"/>
    </row>
    <row r="35" spans="2:8" ht="16.5" customHeight="1" x14ac:dyDescent="0.25">
      <c r="B35" s="34">
        <v>12</v>
      </c>
      <c r="C35" s="35"/>
      <c r="D35" s="32"/>
      <c r="E35" s="36"/>
      <c r="F35" s="36"/>
      <c r="G35" s="31">
        <v>0</v>
      </c>
      <c r="H35" s="32"/>
    </row>
    <row r="36" spans="2:8" ht="16.5" customHeight="1" x14ac:dyDescent="0.25">
      <c r="B36" s="40">
        <v>13</v>
      </c>
      <c r="C36" s="35"/>
      <c r="D36" s="32"/>
      <c r="E36" s="36"/>
      <c r="F36" s="36"/>
      <c r="G36" s="31">
        <v>0</v>
      </c>
      <c r="H36" s="32"/>
    </row>
    <row r="37" spans="2:8" ht="16.5" customHeight="1" x14ac:dyDescent="0.25">
      <c r="B37" s="34">
        <v>14</v>
      </c>
      <c r="C37" s="35"/>
      <c r="D37" s="32"/>
      <c r="E37" s="36"/>
      <c r="F37" s="36"/>
      <c r="G37" s="31">
        <v>0</v>
      </c>
      <c r="H37" s="32"/>
    </row>
    <row r="38" spans="2:8" ht="16.5" customHeight="1" x14ac:dyDescent="0.25">
      <c r="B38" s="40">
        <v>15</v>
      </c>
      <c r="C38" s="35"/>
      <c r="D38" s="32"/>
      <c r="E38" s="36"/>
      <c r="F38" s="36"/>
      <c r="G38" s="31">
        <v>0</v>
      </c>
      <c r="H38" s="32"/>
    </row>
    <row r="39" spans="2:8" ht="16.5" customHeight="1" x14ac:dyDescent="0.25">
      <c r="B39" s="34">
        <v>16</v>
      </c>
      <c r="C39" s="35"/>
      <c r="D39" s="32"/>
      <c r="E39" s="36"/>
      <c r="F39" s="36"/>
      <c r="G39" s="31">
        <v>0</v>
      </c>
      <c r="H39" s="32"/>
    </row>
    <row r="40" spans="2:8" ht="16.5" customHeight="1" x14ac:dyDescent="0.25">
      <c r="B40" s="40">
        <v>17</v>
      </c>
      <c r="C40" s="35"/>
      <c r="D40" s="32"/>
      <c r="E40" s="36"/>
      <c r="F40" s="36"/>
      <c r="G40" s="31">
        <v>0</v>
      </c>
      <c r="H40" s="32"/>
    </row>
    <row r="41" spans="2:8" ht="16.5" customHeight="1" x14ac:dyDescent="0.25">
      <c r="B41" s="34">
        <v>18</v>
      </c>
      <c r="C41" s="35"/>
      <c r="D41" s="32"/>
      <c r="E41" s="36"/>
      <c r="F41" s="36"/>
      <c r="G41" s="31">
        <v>0</v>
      </c>
      <c r="H41" s="32"/>
    </row>
    <row r="42" spans="2:8" ht="16.5" customHeight="1" x14ac:dyDescent="0.25">
      <c r="B42" s="40">
        <v>19</v>
      </c>
      <c r="C42" s="35"/>
      <c r="D42" s="32"/>
      <c r="E42" s="36"/>
      <c r="F42" s="36"/>
      <c r="G42" s="31">
        <v>0</v>
      </c>
      <c r="H42" s="32"/>
    </row>
    <row r="43" spans="2:8" ht="16.5" customHeight="1" x14ac:dyDescent="0.25">
      <c r="B43" s="34">
        <v>20</v>
      </c>
      <c r="C43" s="35"/>
      <c r="D43" s="32"/>
      <c r="E43" s="36"/>
      <c r="F43" s="36"/>
      <c r="G43" s="31">
        <v>0</v>
      </c>
      <c r="H43" s="32"/>
    </row>
    <row r="44" spans="2:8" ht="16.5" customHeight="1" x14ac:dyDescent="0.25">
      <c r="B44" s="40">
        <v>21</v>
      </c>
      <c r="C44" s="35"/>
      <c r="D44" s="32"/>
      <c r="E44" s="36"/>
      <c r="F44" s="36"/>
      <c r="G44" s="31">
        <v>0</v>
      </c>
      <c r="H44" s="32"/>
    </row>
    <row r="45" spans="2:8" ht="16.5" customHeight="1" x14ac:dyDescent="0.25">
      <c r="B45" s="34">
        <v>22</v>
      </c>
      <c r="C45" s="35"/>
      <c r="D45" s="32"/>
      <c r="E45" s="36"/>
      <c r="F45" s="36"/>
      <c r="G45" s="31">
        <v>0</v>
      </c>
      <c r="H45" s="32"/>
    </row>
    <row r="46" spans="2:8" ht="16.5" customHeight="1" x14ac:dyDescent="0.25">
      <c r="B46" s="40">
        <v>23</v>
      </c>
      <c r="C46" s="35"/>
      <c r="D46" s="32"/>
      <c r="E46" s="36"/>
      <c r="F46" s="36"/>
      <c r="G46" s="31">
        <v>0</v>
      </c>
      <c r="H46" s="32"/>
    </row>
    <row r="47" spans="2:8" ht="16.5" customHeight="1" x14ac:dyDescent="0.25">
      <c r="B47" s="34">
        <v>24</v>
      </c>
      <c r="C47" s="35"/>
      <c r="D47" s="32"/>
      <c r="E47" s="36"/>
      <c r="F47" s="36"/>
      <c r="G47" s="31">
        <v>0</v>
      </c>
      <c r="H47" s="32"/>
    </row>
    <row r="48" spans="2:8" ht="16.5" customHeight="1" x14ac:dyDescent="0.25">
      <c r="B48" s="40">
        <v>25</v>
      </c>
      <c r="C48" s="35"/>
      <c r="D48" s="32"/>
      <c r="E48" s="36"/>
      <c r="F48" s="36"/>
      <c r="G48" s="31">
        <v>0</v>
      </c>
      <c r="H48" s="32"/>
    </row>
    <row r="49" spans="2:11" ht="19.5" customHeight="1" x14ac:dyDescent="0.25">
      <c r="B49" s="43"/>
      <c r="C49" s="44" t="s">
        <v>96</v>
      </c>
      <c r="D49" s="43"/>
      <c r="E49" s="43"/>
      <c r="F49" s="43"/>
      <c r="G49" s="45">
        <f>SUM(G24:G48)</f>
        <v>225000</v>
      </c>
      <c r="H49" s="43"/>
    </row>
    <row r="51" spans="2:11" ht="30" customHeight="1" x14ac:dyDescent="0.25">
      <c r="C51" s="6" t="s">
        <v>97</v>
      </c>
      <c r="D51" s="6"/>
      <c r="E51" s="6"/>
      <c r="F51" s="6"/>
      <c r="G51" s="6"/>
      <c r="H51" s="6"/>
      <c r="I51" s="6"/>
      <c r="J51" s="6"/>
      <c r="K51" s="6"/>
    </row>
  </sheetData>
  <mergeCells count="4">
    <mergeCell ref="B7:K7"/>
    <mergeCell ref="B21:H21"/>
    <mergeCell ref="B22:K22"/>
    <mergeCell ref="C51:K51"/>
  </mergeCells>
  <dataValidations count="3">
    <dataValidation type="list" allowBlank="1" sqref="D24:D48" xr:uid="{00000000-0002-0000-0200-000000000000}">
      <formula1>"Progress Draw,Retainage,T&amp;M / Service,Material / Change Order"</formula1>
      <formula2>0</formula2>
    </dataValidation>
    <dataValidation type="list" allowBlank="1" sqref="H24:H48" xr:uid="{00000000-0002-0000-0200-000001000000}">
      <formula1>"Yes,No"</formula1>
      <formula2>0</formula2>
    </dataValidation>
    <dataValidation type="list" allowBlank="1" sqref="C24:C48" xr:uid="{00000000-0002-0000-0200-000002000000}">
      <formula1>$C$9:$C$18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8621A"/>
  </sheetPr>
  <dimension ref="A1:Q56"/>
  <sheetViews>
    <sheetView showGridLines="0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ColWidth="8.7109375" defaultRowHeight="15" x14ac:dyDescent="0.25"/>
  <cols>
    <col min="1" max="1" width="2" customWidth="1"/>
    <col min="2" max="2" width="38" customWidth="1"/>
    <col min="3" max="17" width="13" customWidth="1"/>
  </cols>
  <sheetData>
    <row r="1" spans="1:17" ht="7.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5" customHeight="1" x14ac:dyDescent="0.25">
      <c r="A2" s="13"/>
      <c r="B2" s="13"/>
      <c r="C2" s="13"/>
      <c r="D2" s="19" t="s">
        <v>0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1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15" customHeight="1" x14ac:dyDescent="0.25">
      <c r="A4" s="13"/>
      <c r="B4" s="13"/>
      <c r="C4" s="13"/>
      <c r="D4" s="20" t="s">
        <v>98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ht="1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ht="15" customHeight="1" x14ac:dyDescent="0.25">
      <c r="A6" s="13"/>
      <c r="B6" s="13"/>
      <c r="C6" s="13"/>
      <c r="D6" s="46" t="s">
        <v>99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8" spans="1:17" ht="18" customHeight="1" x14ac:dyDescent="0.25">
      <c r="B8" s="43"/>
      <c r="C8" s="47">
        <f ca="1">Assumptions!$C$8+(1-1)*7</f>
        <v>46189</v>
      </c>
      <c r="D8" s="47">
        <f ca="1">Assumptions!$C$8+(2-1)*7</f>
        <v>46196</v>
      </c>
      <c r="E8" s="47">
        <f ca="1">Assumptions!$C$8+(3-1)*7</f>
        <v>46203</v>
      </c>
      <c r="F8" s="47">
        <f ca="1">Assumptions!$C$8+(4-1)*7</f>
        <v>46210</v>
      </c>
      <c r="G8" s="47">
        <f ca="1">Assumptions!$C$8+(5-1)*7</f>
        <v>46217</v>
      </c>
      <c r="H8" s="47">
        <f ca="1">Assumptions!$C$8+(6-1)*7</f>
        <v>46224</v>
      </c>
      <c r="I8" s="47">
        <f ca="1">Assumptions!$C$8+(7-1)*7</f>
        <v>46231</v>
      </c>
      <c r="J8" s="47">
        <f ca="1">Assumptions!$C$8+(8-1)*7</f>
        <v>46238</v>
      </c>
      <c r="K8" s="47">
        <f ca="1">Assumptions!$C$8+(9-1)*7</f>
        <v>46245</v>
      </c>
      <c r="L8" s="47">
        <f ca="1">Assumptions!$C$8+(10-1)*7</f>
        <v>46252</v>
      </c>
      <c r="M8" s="47">
        <f ca="1">Assumptions!$C$8+(11-1)*7</f>
        <v>46259</v>
      </c>
      <c r="N8" s="47">
        <f ca="1">Assumptions!$C$8+(12-1)*7</f>
        <v>46266</v>
      </c>
      <c r="O8" s="47">
        <f ca="1">Assumptions!$C$8+(13-1)*7</f>
        <v>46273</v>
      </c>
      <c r="P8" s="48"/>
    </row>
    <row r="9" spans="1:17" ht="21.75" customHeight="1" x14ac:dyDescent="0.25">
      <c r="B9" s="49" t="s">
        <v>100</v>
      </c>
      <c r="C9" s="50" t="s">
        <v>101</v>
      </c>
      <c r="D9" s="50" t="s">
        <v>102</v>
      </c>
      <c r="E9" s="50" t="s">
        <v>103</v>
      </c>
      <c r="F9" s="50" t="s">
        <v>104</v>
      </c>
      <c r="G9" s="50" t="s">
        <v>105</v>
      </c>
      <c r="H9" s="50" t="s">
        <v>106</v>
      </c>
      <c r="I9" s="50" t="s">
        <v>107</v>
      </c>
      <c r="J9" s="50" t="s">
        <v>108</v>
      </c>
      <c r="K9" s="50" t="s">
        <v>109</v>
      </c>
      <c r="L9" s="50" t="s">
        <v>110</v>
      </c>
      <c r="M9" s="50" t="s">
        <v>111</v>
      </c>
      <c r="N9" s="50" t="s">
        <v>112</v>
      </c>
      <c r="O9" s="50" t="s">
        <v>113</v>
      </c>
      <c r="P9" s="48" t="s">
        <v>114</v>
      </c>
    </row>
    <row r="10" spans="1:17" ht="19.5" customHeight="1" x14ac:dyDescent="0.25">
      <c r="B10" s="8" t="s">
        <v>115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7" ht="16.5" customHeight="1" x14ac:dyDescent="0.25">
      <c r="B11" s="51" t="s">
        <v>116</v>
      </c>
      <c r="C11" s="52">
        <f ca="1">SUMIFS('Job Tracker'!$G$24:$G$48,'Job Tracker'!$D$24:$D$48,"Progress Draw",'Job Tracker'!$F$24:$F$48,"&gt;="&amp;C$8,'Job Tracker'!$F$24:$F$48,"&lt;="&amp;(C$8+6),'Job Tracker'!$H$24:$H$48,"&lt;&gt;Yes")</f>
        <v>135000</v>
      </c>
      <c r="D11" s="52">
        <f ca="1">SUMIFS('Job Tracker'!$G$24:$G$48,'Job Tracker'!$D$24:$D$48,"Progress Draw",'Job Tracker'!$F$24:$F$48,"&gt;="&amp;D$8,'Job Tracker'!$F$24:$F$48,"&lt;="&amp;(D$8+6),'Job Tracker'!$H$24:$H$48,"&lt;&gt;Yes")</f>
        <v>90000</v>
      </c>
      <c r="E11" s="52">
        <f ca="1">SUMIFS('Job Tracker'!$G$24:$G$48,'Job Tracker'!$D$24:$D$48,"Progress Draw",'Job Tracker'!$F$24:$F$48,"&gt;="&amp;E$8,'Job Tracker'!$F$24:$F$48,"&lt;="&amp;(E$8+6),'Job Tracker'!$H$24:$H$48,"&lt;&gt;Yes")</f>
        <v>0</v>
      </c>
      <c r="F11" s="52">
        <f ca="1">SUMIFS('Job Tracker'!$G$24:$G$48,'Job Tracker'!$D$24:$D$48,"Progress Draw",'Job Tracker'!$F$24:$F$48,"&gt;="&amp;F$8,'Job Tracker'!$F$24:$F$48,"&lt;="&amp;(F$8+6),'Job Tracker'!$H$24:$H$48,"&lt;&gt;Yes")</f>
        <v>0</v>
      </c>
      <c r="G11" s="52">
        <f ca="1">SUMIFS('Job Tracker'!$G$24:$G$48,'Job Tracker'!$D$24:$D$48,"Progress Draw",'Job Tracker'!$F$24:$F$48,"&gt;="&amp;G$8,'Job Tracker'!$F$24:$F$48,"&lt;="&amp;(G$8+6),'Job Tracker'!$H$24:$H$48,"&lt;&gt;Yes")</f>
        <v>0</v>
      </c>
      <c r="H11" s="52">
        <f ca="1">SUMIFS('Job Tracker'!$G$24:$G$48,'Job Tracker'!$D$24:$D$48,"Progress Draw",'Job Tracker'!$F$24:$F$48,"&gt;="&amp;H$8,'Job Tracker'!$F$24:$F$48,"&lt;="&amp;(H$8+6),'Job Tracker'!$H$24:$H$48,"&lt;&gt;Yes")</f>
        <v>0</v>
      </c>
      <c r="I11" s="52">
        <f ca="1">SUMIFS('Job Tracker'!$G$24:$G$48,'Job Tracker'!$D$24:$D$48,"Progress Draw",'Job Tracker'!$F$24:$F$48,"&gt;="&amp;I$8,'Job Tracker'!$F$24:$F$48,"&lt;="&amp;(I$8+6),'Job Tracker'!$H$24:$H$48,"&lt;&gt;Yes")</f>
        <v>0</v>
      </c>
      <c r="J11" s="52">
        <f ca="1">SUMIFS('Job Tracker'!$G$24:$G$48,'Job Tracker'!$D$24:$D$48,"Progress Draw",'Job Tracker'!$F$24:$F$48,"&gt;="&amp;J$8,'Job Tracker'!$F$24:$F$48,"&lt;="&amp;(J$8+6),'Job Tracker'!$H$24:$H$48,"&lt;&gt;Yes")</f>
        <v>0</v>
      </c>
      <c r="K11" s="52">
        <f ca="1">SUMIFS('Job Tracker'!$G$24:$G$48,'Job Tracker'!$D$24:$D$48,"Progress Draw",'Job Tracker'!$F$24:$F$48,"&gt;="&amp;K$8,'Job Tracker'!$F$24:$F$48,"&lt;="&amp;(K$8+6),'Job Tracker'!$H$24:$H$48,"&lt;&gt;Yes")</f>
        <v>0</v>
      </c>
      <c r="L11" s="52">
        <f ca="1">SUMIFS('Job Tracker'!$G$24:$G$48,'Job Tracker'!$D$24:$D$48,"Progress Draw",'Job Tracker'!$F$24:$F$48,"&gt;="&amp;L$8,'Job Tracker'!$F$24:$F$48,"&lt;="&amp;(L$8+6),'Job Tracker'!$H$24:$H$48,"&lt;&gt;Yes")</f>
        <v>0</v>
      </c>
      <c r="M11" s="52">
        <f ca="1">SUMIFS('Job Tracker'!$G$24:$G$48,'Job Tracker'!$D$24:$D$48,"Progress Draw",'Job Tracker'!$F$24:$F$48,"&gt;="&amp;M$8,'Job Tracker'!$F$24:$F$48,"&lt;="&amp;(M$8+6),'Job Tracker'!$H$24:$H$48,"&lt;&gt;Yes")</f>
        <v>0</v>
      </c>
      <c r="N11" s="52">
        <f ca="1">SUMIFS('Job Tracker'!$G$24:$G$48,'Job Tracker'!$D$24:$D$48,"Progress Draw",'Job Tracker'!$F$24:$F$48,"&gt;="&amp;N$8,'Job Tracker'!$F$24:$F$48,"&lt;="&amp;(N$8+6),'Job Tracker'!$H$24:$H$48,"&lt;&gt;Yes")</f>
        <v>0</v>
      </c>
      <c r="O11" s="52">
        <f ca="1">SUMIFS('Job Tracker'!$G$24:$G$48,'Job Tracker'!$D$24:$D$48,"Progress Draw",'Job Tracker'!$F$24:$F$48,"&gt;="&amp;O$8,'Job Tracker'!$F$24:$F$48,"&lt;="&amp;(O$8+6),'Job Tracker'!$H$24:$H$48,"&lt;&gt;Yes")</f>
        <v>0</v>
      </c>
      <c r="P11" s="53">
        <f t="shared" ref="P11:P16" ca="1" si="0">SUM(C11:O11)</f>
        <v>225000</v>
      </c>
    </row>
    <row r="12" spans="1:17" ht="16.5" customHeight="1" x14ac:dyDescent="0.25">
      <c r="B12" s="54" t="s">
        <v>117</v>
      </c>
      <c r="C12" s="55">
        <f ca="1">SUMIFS('Job Tracker'!$G$24:$G$48,'Job Tracker'!$D$24:$D$48,"Retainage",'Job Tracker'!$F$24:$F$48,"&gt;="&amp;C$8,'Job Tracker'!$F$24:$F$48,"&lt;="&amp;(C$8+6),'Job Tracker'!$H$24:$H$48,"&lt;&gt;Yes")</f>
        <v>0</v>
      </c>
      <c r="D12" s="55">
        <f ca="1">SUMIFS('Job Tracker'!$G$24:$G$48,'Job Tracker'!$D$24:$D$48,"Retainage",'Job Tracker'!$F$24:$F$48,"&gt;="&amp;D$8,'Job Tracker'!$F$24:$F$48,"&lt;="&amp;(D$8+6),'Job Tracker'!$H$24:$H$48,"&lt;&gt;Yes")</f>
        <v>0</v>
      </c>
      <c r="E12" s="55">
        <f ca="1">SUMIFS('Job Tracker'!$G$24:$G$48,'Job Tracker'!$D$24:$D$48,"Retainage",'Job Tracker'!$F$24:$F$48,"&gt;="&amp;E$8,'Job Tracker'!$F$24:$F$48,"&lt;="&amp;(E$8+6),'Job Tracker'!$H$24:$H$48,"&lt;&gt;Yes")</f>
        <v>0</v>
      </c>
      <c r="F12" s="55">
        <f ca="1">SUMIFS('Job Tracker'!$G$24:$G$48,'Job Tracker'!$D$24:$D$48,"Retainage",'Job Tracker'!$F$24:$F$48,"&gt;="&amp;F$8,'Job Tracker'!$F$24:$F$48,"&lt;="&amp;(F$8+6),'Job Tracker'!$H$24:$H$48,"&lt;&gt;Yes")</f>
        <v>0</v>
      </c>
      <c r="G12" s="55">
        <f ca="1">SUMIFS('Job Tracker'!$G$24:$G$48,'Job Tracker'!$D$24:$D$48,"Retainage",'Job Tracker'!$F$24:$F$48,"&gt;="&amp;G$8,'Job Tracker'!$F$24:$F$48,"&lt;="&amp;(G$8+6),'Job Tracker'!$H$24:$H$48,"&lt;&gt;Yes")</f>
        <v>0</v>
      </c>
      <c r="H12" s="55">
        <f ca="1">SUMIFS('Job Tracker'!$G$24:$G$48,'Job Tracker'!$D$24:$D$48,"Retainage",'Job Tracker'!$F$24:$F$48,"&gt;="&amp;H$8,'Job Tracker'!$F$24:$F$48,"&lt;="&amp;(H$8+6),'Job Tracker'!$H$24:$H$48,"&lt;&gt;Yes")</f>
        <v>0</v>
      </c>
      <c r="I12" s="55">
        <f ca="1">SUMIFS('Job Tracker'!$G$24:$G$48,'Job Tracker'!$D$24:$D$48,"Retainage",'Job Tracker'!$F$24:$F$48,"&gt;="&amp;I$8,'Job Tracker'!$F$24:$F$48,"&lt;="&amp;(I$8+6),'Job Tracker'!$H$24:$H$48,"&lt;&gt;Yes")</f>
        <v>0</v>
      </c>
      <c r="J12" s="55">
        <f ca="1">SUMIFS('Job Tracker'!$G$24:$G$48,'Job Tracker'!$D$24:$D$48,"Retainage",'Job Tracker'!$F$24:$F$48,"&gt;="&amp;J$8,'Job Tracker'!$F$24:$F$48,"&lt;="&amp;(J$8+6),'Job Tracker'!$H$24:$H$48,"&lt;&gt;Yes")</f>
        <v>0</v>
      </c>
      <c r="K12" s="55">
        <f ca="1">SUMIFS('Job Tracker'!$G$24:$G$48,'Job Tracker'!$D$24:$D$48,"Retainage",'Job Tracker'!$F$24:$F$48,"&gt;="&amp;K$8,'Job Tracker'!$F$24:$F$48,"&lt;="&amp;(K$8+6),'Job Tracker'!$H$24:$H$48,"&lt;&gt;Yes")</f>
        <v>0</v>
      </c>
      <c r="L12" s="55">
        <f ca="1">SUMIFS('Job Tracker'!$G$24:$G$48,'Job Tracker'!$D$24:$D$48,"Retainage",'Job Tracker'!$F$24:$F$48,"&gt;="&amp;L$8,'Job Tracker'!$F$24:$F$48,"&lt;="&amp;(L$8+6),'Job Tracker'!$H$24:$H$48,"&lt;&gt;Yes")</f>
        <v>0</v>
      </c>
      <c r="M12" s="55">
        <f ca="1">SUMIFS('Job Tracker'!$G$24:$G$48,'Job Tracker'!$D$24:$D$48,"Retainage",'Job Tracker'!$F$24:$F$48,"&gt;="&amp;M$8,'Job Tracker'!$F$24:$F$48,"&lt;="&amp;(M$8+6),'Job Tracker'!$H$24:$H$48,"&lt;&gt;Yes")</f>
        <v>0</v>
      </c>
      <c r="N12" s="55">
        <f ca="1">SUMIFS('Job Tracker'!$G$24:$G$48,'Job Tracker'!$D$24:$D$48,"Retainage",'Job Tracker'!$F$24:$F$48,"&gt;="&amp;N$8,'Job Tracker'!$F$24:$F$48,"&lt;="&amp;(N$8+6),'Job Tracker'!$H$24:$H$48,"&lt;&gt;Yes")</f>
        <v>0</v>
      </c>
      <c r="O12" s="55">
        <f ca="1">SUMIFS('Job Tracker'!$G$24:$G$48,'Job Tracker'!$D$24:$D$48,"Retainage",'Job Tracker'!$F$24:$F$48,"&gt;="&amp;O$8,'Job Tracker'!$F$24:$F$48,"&lt;="&amp;(O$8+6),'Job Tracker'!$H$24:$H$48,"&lt;&gt;Yes")</f>
        <v>0</v>
      </c>
      <c r="P12" s="56">
        <f t="shared" ca="1" si="0"/>
        <v>0</v>
      </c>
    </row>
    <row r="13" spans="1:17" ht="16.5" customHeight="1" x14ac:dyDescent="0.25">
      <c r="B13" s="51" t="s">
        <v>118</v>
      </c>
      <c r="C13" s="52">
        <f ca="1">SUMIFS('Job Tracker'!$G$24:$G$48,'Job Tracker'!$D$24:$D$48,"T&amp;M / Service",'Job Tracker'!$F$24:$F$48,"&gt;="&amp;C$8,'Job Tracker'!$F$24:$F$48,"&lt;="&amp;(C$8+6),'Job Tracker'!$H$24:$H$48,"&lt;&gt;Yes")</f>
        <v>0</v>
      </c>
      <c r="D13" s="52">
        <f ca="1">SUMIFS('Job Tracker'!$G$24:$G$48,'Job Tracker'!$D$24:$D$48,"T&amp;M / Service",'Job Tracker'!$F$24:$F$48,"&gt;="&amp;D$8,'Job Tracker'!$F$24:$F$48,"&lt;="&amp;(D$8+6),'Job Tracker'!$H$24:$H$48,"&lt;&gt;Yes")</f>
        <v>0</v>
      </c>
      <c r="E13" s="52">
        <f ca="1">SUMIFS('Job Tracker'!$G$24:$G$48,'Job Tracker'!$D$24:$D$48,"T&amp;M / Service",'Job Tracker'!$F$24:$F$48,"&gt;="&amp;E$8,'Job Tracker'!$F$24:$F$48,"&lt;="&amp;(E$8+6),'Job Tracker'!$H$24:$H$48,"&lt;&gt;Yes")</f>
        <v>0</v>
      </c>
      <c r="F13" s="52">
        <f ca="1">SUMIFS('Job Tracker'!$G$24:$G$48,'Job Tracker'!$D$24:$D$48,"T&amp;M / Service",'Job Tracker'!$F$24:$F$48,"&gt;="&amp;F$8,'Job Tracker'!$F$24:$F$48,"&lt;="&amp;(F$8+6),'Job Tracker'!$H$24:$H$48,"&lt;&gt;Yes")</f>
        <v>0</v>
      </c>
      <c r="G13" s="52">
        <f ca="1">SUMIFS('Job Tracker'!$G$24:$G$48,'Job Tracker'!$D$24:$D$48,"T&amp;M / Service",'Job Tracker'!$F$24:$F$48,"&gt;="&amp;G$8,'Job Tracker'!$F$24:$F$48,"&lt;="&amp;(G$8+6),'Job Tracker'!$H$24:$H$48,"&lt;&gt;Yes")</f>
        <v>0</v>
      </c>
      <c r="H13" s="52">
        <f ca="1">SUMIFS('Job Tracker'!$G$24:$G$48,'Job Tracker'!$D$24:$D$48,"T&amp;M / Service",'Job Tracker'!$F$24:$F$48,"&gt;="&amp;H$8,'Job Tracker'!$F$24:$F$48,"&lt;="&amp;(H$8+6),'Job Tracker'!$H$24:$H$48,"&lt;&gt;Yes")</f>
        <v>0</v>
      </c>
      <c r="I13" s="52">
        <f ca="1">SUMIFS('Job Tracker'!$G$24:$G$48,'Job Tracker'!$D$24:$D$48,"T&amp;M / Service",'Job Tracker'!$F$24:$F$48,"&gt;="&amp;I$8,'Job Tracker'!$F$24:$F$48,"&lt;="&amp;(I$8+6),'Job Tracker'!$H$24:$H$48,"&lt;&gt;Yes")</f>
        <v>0</v>
      </c>
      <c r="J13" s="52">
        <f ca="1">SUMIFS('Job Tracker'!$G$24:$G$48,'Job Tracker'!$D$24:$D$48,"T&amp;M / Service",'Job Tracker'!$F$24:$F$48,"&gt;="&amp;J$8,'Job Tracker'!$F$24:$F$48,"&lt;="&amp;(J$8+6),'Job Tracker'!$H$24:$H$48,"&lt;&gt;Yes")</f>
        <v>0</v>
      </c>
      <c r="K13" s="52">
        <f ca="1">SUMIFS('Job Tracker'!$G$24:$G$48,'Job Tracker'!$D$24:$D$48,"T&amp;M / Service",'Job Tracker'!$F$24:$F$48,"&gt;="&amp;K$8,'Job Tracker'!$F$24:$F$48,"&lt;="&amp;(K$8+6),'Job Tracker'!$H$24:$H$48,"&lt;&gt;Yes")</f>
        <v>0</v>
      </c>
      <c r="L13" s="52">
        <f ca="1">SUMIFS('Job Tracker'!$G$24:$G$48,'Job Tracker'!$D$24:$D$48,"T&amp;M / Service",'Job Tracker'!$F$24:$F$48,"&gt;="&amp;L$8,'Job Tracker'!$F$24:$F$48,"&lt;="&amp;(L$8+6),'Job Tracker'!$H$24:$H$48,"&lt;&gt;Yes")</f>
        <v>0</v>
      </c>
      <c r="M13" s="52">
        <f ca="1">SUMIFS('Job Tracker'!$G$24:$G$48,'Job Tracker'!$D$24:$D$48,"T&amp;M / Service",'Job Tracker'!$F$24:$F$48,"&gt;="&amp;M$8,'Job Tracker'!$F$24:$F$48,"&lt;="&amp;(M$8+6),'Job Tracker'!$H$24:$H$48,"&lt;&gt;Yes")</f>
        <v>0</v>
      </c>
      <c r="N13" s="52">
        <f ca="1">SUMIFS('Job Tracker'!$G$24:$G$48,'Job Tracker'!$D$24:$D$48,"T&amp;M / Service",'Job Tracker'!$F$24:$F$48,"&gt;="&amp;N$8,'Job Tracker'!$F$24:$F$48,"&lt;="&amp;(N$8+6),'Job Tracker'!$H$24:$H$48,"&lt;&gt;Yes")</f>
        <v>0</v>
      </c>
      <c r="O13" s="52">
        <f ca="1">SUMIFS('Job Tracker'!$G$24:$G$48,'Job Tracker'!$D$24:$D$48,"T&amp;M / Service",'Job Tracker'!$F$24:$F$48,"&gt;="&amp;O$8,'Job Tracker'!$F$24:$F$48,"&lt;="&amp;(O$8+6),'Job Tracker'!$H$24:$H$48,"&lt;&gt;Yes")</f>
        <v>0</v>
      </c>
      <c r="P13" s="53">
        <f t="shared" ca="1" si="0"/>
        <v>0</v>
      </c>
    </row>
    <row r="14" spans="1:17" ht="16.5" customHeight="1" x14ac:dyDescent="0.25">
      <c r="B14" s="54" t="s">
        <v>119</v>
      </c>
      <c r="C14" s="55">
        <f ca="1">SUMIFS('Job Tracker'!$G$24:$G$48,'Job Tracker'!$D$24:$D$48,"Material / Change Order",'Job Tracker'!$F$24:$F$48,"&gt;="&amp;C$8,'Job Tracker'!$F$24:$F$48,"&lt;="&amp;(C$8+6),'Job Tracker'!$H$24:$H$48,"&lt;&gt;Yes")</f>
        <v>0</v>
      </c>
      <c r="D14" s="55">
        <f ca="1">SUMIFS('Job Tracker'!$G$24:$G$48,'Job Tracker'!$D$24:$D$48,"Material / Change Order",'Job Tracker'!$F$24:$F$48,"&gt;="&amp;D$8,'Job Tracker'!$F$24:$F$48,"&lt;="&amp;(D$8+6),'Job Tracker'!$H$24:$H$48,"&lt;&gt;Yes")</f>
        <v>0</v>
      </c>
      <c r="E14" s="55">
        <f ca="1">SUMIFS('Job Tracker'!$G$24:$G$48,'Job Tracker'!$D$24:$D$48,"Material / Change Order",'Job Tracker'!$F$24:$F$48,"&gt;="&amp;E$8,'Job Tracker'!$F$24:$F$48,"&lt;="&amp;(E$8+6),'Job Tracker'!$H$24:$H$48,"&lt;&gt;Yes")</f>
        <v>0</v>
      </c>
      <c r="F14" s="55">
        <f ca="1">SUMIFS('Job Tracker'!$G$24:$G$48,'Job Tracker'!$D$24:$D$48,"Material / Change Order",'Job Tracker'!$F$24:$F$48,"&gt;="&amp;F$8,'Job Tracker'!$F$24:$F$48,"&lt;="&amp;(F$8+6),'Job Tracker'!$H$24:$H$48,"&lt;&gt;Yes")</f>
        <v>0</v>
      </c>
      <c r="G14" s="55">
        <f ca="1">SUMIFS('Job Tracker'!$G$24:$G$48,'Job Tracker'!$D$24:$D$48,"Material / Change Order",'Job Tracker'!$F$24:$F$48,"&gt;="&amp;G$8,'Job Tracker'!$F$24:$F$48,"&lt;="&amp;(G$8+6),'Job Tracker'!$H$24:$H$48,"&lt;&gt;Yes")</f>
        <v>0</v>
      </c>
      <c r="H14" s="55">
        <f ca="1">SUMIFS('Job Tracker'!$G$24:$G$48,'Job Tracker'!$D$24:$D$48,"Material / Change Order",'Job Tracker'!$F$24:$F$48,"&gt;="&amp;H$8,'Job Tracker'!$F$24:$F$48,"&lt;="&amp;(H$8+6),'Job Tracker'!$H$24:$H$48,"&lt;&gt;Yes")</f>
        <v>0</v>
      </c>
      <c r="I14" s="55">
        <f ca="1">SUMIFS('Job Tracker'!$G$24:$G$48,'Job Tracker'!$D$24:$D$48,"Material / Change Order",'Job Tracker'!$F$24:$F$48,"&gt;="&amp;I$8,'Job Tracker'!$F$24:$F$48,"&lt;="&amp;(I$8+6),'Job Tracker'!$H$24:$H$48,"&lt;&gt;Yes")</f>
        <v>0</v>
      </c>
      <c r="J14" s="55">
        <f ca="1">SUMIFS('Job Tracker'!$G$24:$G$48,'Job Tracker'!$D$24:$D$48,"Material / Change Order",'Job Tracker'!$F$24:$F$48,"&gt;="&amp;J$8,'Job Tracker'!$F$24:$F$48,"&lt;="&amp;(J$8+6),'Job Tracker'!$H$24:$H$48,"&lt;&gt;Yes")</f>
        <v>0</v>
      </c>
      <c r="K14" s="55">
        <f ca="1">SUMIFS('Job Tracker'!$G$24:$G$48,'Job Tracker'!$D$24:$D$48,"Material / Change Order",'Job Tracker'!$F$24:$F$48,"&gt;="&amp;K$8,'Job Tracker'!$F$24:$F$48,"&lt;="&amp;(K$8+6),'Job Tracker'!$H$24:$H$48,"&lt;&gt;Yes")</f>
        <v>0</v>
      </c>
      <c r="L14" s="55">
        <f ca="1">SUMIFS('Job Tracker'!$G$24:$G$48,'Job Tracker'!$D$24:$D$48,"Material / Change Order",'Job Tracker'!$F$24:$F$48,"&gt;="&amp;L$8,'Job Tracker'!$F$24:$F$48,"&lt;="&amp;(L$8+6),'Job Tracker'!$H$24:$H$48,"&lt;&gt;Yes")</f>
        <v>0</v>
      </c>
      <c r="M14" s="55">
        <f ca="1">SUMIFS('Job Tracker'!$G$24:$G$48,'Job Tracker'!$D$24:$D$48,"Material / Change Order",'Job Tracker'!$F$24:$F$48,"&gt;="&amp;M$8,'Job Tracker'!$F$24:$F$48,"&lt;="&amp;(M$8+6),'Job Tracker'!$H$24:$H$48,"&lt;&gt;Yes")</f>
        <v>0</v>
      </c>
      <c r="N14" s="55">
        <f ca="1">SUMIFS('Job Tracker'!$G$24:$G$48,'Job Tracker'!$D$24:$D$48,"Material / Change Order",'Job Tracker'!$F$24:$F$48,"&gt;="&amp;N$8,'Job Tracker'!$F$24:$F$48,"&lt;="&amp;(N$8+6),'Job Tracker'!$H$24:$H$48,"&lt;&gt;Yes")</f>
        <v>0</v>
      </c>
      <c r="O14" s="55">
        <f ca="1">SUMIFS('Job Tracker'!$G$24:$G$48,'Job Tracker'!$D$24:$D$48,"Material / Change Order",'Job Tracker'!$F$24:$F$48,"&gt;="&amp;O$8,'Job Tracker'!$F$24:$F$48,"&lt;="&amp;(O$8+6),'Job Tracker'!$H$24:$H$48,"&lt;&gt;Yes")</f>
        <v>0</v>
      </c>
      <c r="P14" s="56">
        <f t="shared" ca="1" si="0"/>
        <v>0</v>
      </c>
    </row>
    <row r="15" spans="1:17" ht="16.5" customHeight="1" x14ac:dyDescent="0.25">
      <c r="B15" s="57" t="s">
        <v>120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9">
        <f t="shared" si="0"/>
        <v>0</v>
      </c>
    </row>
    <row r="16" spans="1:17" ht="19.5" customHeight="1" x14ac:dyDescent="0.25">
      <c r="B16" s="60" t="s">
        <v>121</v>
      </c>
      <c r="C16" s="45">
        <f t="shared" ref="C16:O16" ca="1" si="1">SUM(C11:C15)</f>
        <v>135000</v>
      </c>
      <c r="D16" s="45">
        <f t="shared" ca="1" si="1"/>
        <v>90000</v>
      </c>
      <c r="E16" s="45">
        <f t="shared" ca="1" si="1"/>
        <v>0</v>
      </c>
      <c r="F16" s="45">
        <f t="shared" ca="1" si="1"/>
        <v>0</v>
      </c>
      <c r="G16" s="45">
        <f t="shared" ca="1" si="1"/>
        <v>0</v>
      </c>
      <c r="H16" s="45">
        <f t="shared" ca="1" si="1"/>
        <v>0</v>
      </c>
      <c r="I16" s="45">
        <f t="shared" ca="1" si="1"/>
        <v>0</v>
      </c>
      <c r="J16" s="45">
        <f t="shared" ca="1" si="1"/>
        <v>0</v>
      </c>
      <c r="K16" s="45">
        <f t="shared" ca="1" si="1"/>
        <v>0</v>
      </c>
      <c r="L16" s="45">
        <f t="shared" ca="1" si="1"/>
        <v>0</v>
      </c>
      <c r="M16" s="45">
        <f t="shared" ca="1" si="1"/>
        <v>0</v>
      </c>
      <c r="N16" s="45">
        <f t="shared" ca="1" si="1"/>
        <v>0</v>
      </c>
      <c r="O16" s="45">
        <f t="shared" ca="1" si="1"/>
        <v>0</v>
      </c>
      <c r="P16" s="45">
        <f t="shared" ca="1" si="0"/>
        <v>225000</v>
      </c>
    </row>
    <row r="18" spans="2:16" ht="19.5" customHeight="1" x14ac:dyDescent="0.25">
      <c r="B18" s="8" t="s">
        <v>122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2:16" ht="16.5" customHeight="1" x14ac:dyDescent="0.25">
      <c r="B19" s="57" t="s">
        <v>123</v>
      </c>
      <c r="C19" s="58">
        <v>3000</v>
      </c>
      <c r="D19" s="58">
        <v>6000</v>
      </c>
      <c r="E19" s="58">
        <v>6000</v>
      </c>
      <c r="F19" s="58">
        <v>6000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9">
        <f t="shared" ref="P19:P25" si="2">SUM(C19:O19)</f>
        <v>21000</v>
      </c>
    </row>
    <row r="20" spans="2:16" ht="16.5" customHeight="1" x14ac:dyDescent="0.25">
      <c r="B20" s="54" t="s">
        <v>124</v>
      </c>
      <c r="C20" s="55">
        <f>C19*Assumptions!C13</f>
        <v>540</v>
      </c>
      <c r="D20" s="55">
        <f>D19*Assumptions!C13</f>
        <v>1080</v>
      </c>
      <c r="E20" s="55">
        <f>E19*Assumptions!C13</f>
        <v>1080</v>
      </c>
      <c r="F20" s="55">
        <f>F19*Assumptions!C13</f>
        <v>1080</v>
      </c>
      <c r="G20" s="55">
        <f>G19*Assumptions!C13</f>
        <v>0</v>
      </c>
      <c r="H20" s="55">
        <f>H19*Assumptions!C13</f>
        <v>0</v>
      </c>
      <c r="I20" s="55">
        <f>I19*Assumptions!C13</f>
        <v>0</v>
      </c>
      <c r="J20" s="55">
        <f>J19*Assumptions!C13</f>
        <v>0</v>
      </c>
      <c r="K20" s="55">
        <f>K19*Assumptions!C13</f>
        <v>0</v>
      </c>
      <c r="L20" s="55">
        <f>L19*Assumptions!C13</f>
        <v>0</v>
      </c>
      <c r="M20" s="55">
        <f>M19*Assumptions!C13</f>
        <v>0</v>
      </c>
      <c r="N20" s="55">
        <f>N19*Assumptions!C13</f>
        <v>0</v>
      </c>
      <c r="O20" s="55">
        <f>O19*Assumptions!C13</f>
        <v>0</v>
      </c>
      <c r="P20" s="56">
        <f t="shared" si="2"/>
        <v>3780</v>
      </c>
    </row>
    <row r="21" spans="2:16" ht="16.5" customHeight="1" x14ac:dyDescent="0.25">
      <c r="B21" s="57" t="s">
        <v>125</v>
      </c>
      <c r="C21" s="58">
        <v>1500</v>
      </c>
      <c r="D21" s="58">
        <v>6800</v>
      </c>
      <c r="E21" s="58">
        <v>15000</v>
      </c>
      <c r="F21" s="58">
        <v>15000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9">
        <f t="shared" si="2"/>
        <v>38300</v>
      </c>
    </row>
    <row r="22" spans="2:16" ht="16.5" customHeight="1" x14ac:dyDescent="0.25">
      <c r="B22" s="61" t="s">
        <v>126</v>
      </c>
      <c r="C22" s="58">
        <v>28000</v>
      </c>
      <c r="D22" s="58">
        <v>35000</v>
      </c>
      <c r="E22" s="58">
        <v>5000</v>
      </c>
      <c r="F22" s="58">
        <v>25000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62">
        <f t="shared" si="2"/>
        <v>93000</v>
      </c>
    </row>
    <row r="23" spans="2:16" ht="16.5" customHeight="1" x14ac:dyDescent="0.25">
      <c r="B23" s="57" t="s">
        <v>127</v>
      </c>
      <c r="C23" s="58">
        <v>1800</v>
      </c>
      <c r="D23" s="58">
        <v>1850</v>
      </c>
      <c r="E23" s="58">
        <v>1850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9">
        <f t="shared" si="2"/>
        <v>5500</v>
      </c>
    </row>
    <row r="24" spans="2:16" ht="16.5" customHeight="1" x14ac:dyDescent="0.25">
      <c r="B24" s="61" t="s">
        <v>128</v>
      </c>
      <c r="C24" s="58">
        <v>500</v>
      </c>
      <c r="D24" s="58">
        <v>600</v>
      </c>
      <c r="E24" s="58">
        <v>700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62">
        <f t="shared" si="2"/>
        <v>1800</v>
      </c>
    </row>
    <row r="25" spans="2:16" ht="19.5" customHeight="1" x14ac:dyDescent="0.25">
      <c r="B25" s="60" t="s">
        <v>129</v>
      </c>
      <c r="C25" s="45">
        <f t="shared" ref="C25:O25" si="3">SUM(C19:C24)</f>
        <v>35340</v>
      </c>
      <c r="D25" s="45">
        <f t="shared" si="3"/>
        <v>51330</v>
      </c>
      <c r="E25" s="45">
        <f t="shared" si="3"/>
        <v>29630</v>
      </c>
      <c r="F25" s="45">
        <f t="shared" si="3"/>
        <v>47080</v>
      </c>
      <c r="G25" s="45">
        <f t="shared" si="3"/>
        <v>0</v>
      </c>
      <c r="H25" s="45">
        <f t="shared" si="3"/>
        <v>0</v>
      </c>
      <c r="I25" s="45">
        <f t="shared" si="3"/>
        <v>0</v>
      </c>
      <c r="J25" s="45">
        <f t="shared" si="3"/>
        <v>0</v>
      </c>
      <c r="K25" s="45">
        <f t="shared" si="3"/>
        <v>0</v>
      </c>
      <c r="L25" s="45">
        <f t="shared" si="3"/>
        <v>0</v>
      </c>
      <c r="M25" s="45">
        <f t="shared" si="3"/>
        <v>0</v>
      </c>
      <c r="N25" s="45">
        <f t="shared" si="3"/>
        <v>0</v>
      </c>
      <c r="O25" s="45">
        <f t="shared" si="3"/>
        <v>0</v>
      </c>
      <c r="P25" s="45">
        <f t="shared" si="2"/>
        <v>163380</v>
      </c>
    </row>
    <row r="27" spans="2:16" ht="19.5" customHeight="1" x14ac:dyDescent="0.25">
      <c r="B27" s="8" t="s">
        <v>130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2:16" ht="16.5" customHeight="1" x14ac:dyDescent="0.25">
      <c r="B28" s="57" t="s">
        <v>131</v>
      </c>
      <c r="C28" s="58">
        <v>2000</v>
      </c>
      <c r="D28" s="58">
        <v>2000</v>
      </c>
      <c r="E28" s="58">
        <v>2000</v>
      </c>
      <c r="F28" s="58">
        <v>2000</v>
      </c>
      <c r="G28" s="58">
        <v>2000</v>
      </c>
      <c r="H28" s="58">
        <v>2000</v>
      </c>
      <c r="I28" s="58">
        <v>2000</v>
      </c>
      <c r="J28" s="58">
        <v>2000</v>
      </c>
      <c r="K28" s="58">
        <v>2000</v>
      </c>
      <c r="L28" s="58">
        <v>2000</v>
      </c>
      <c r="M28" s="58">
        <v>2000</v>
      </c>
      <c r="N28" s="58">
        <v>2000</v>
      </c>
      <c r="O28" s="58">
        <v>2000</v>
      </c>
      <c r="P28" s="59">
        <f t="shared" ref="P28:P37" si="4">SUM(C28:O28)</f>
        <v>26000</v>
      </c>
    </row>
    <row r="29" spans="2:16" ht="16.5" customHeight="1" x14ac:dyDescent="0.25">
      <c r="B29" s="54" t="s">
        <v>132</v>
      </c>
      <c r="C29" s="55">
        <f>C28*Assumptions!C13</f>
        <v>360</v>
      </c>
      <c r="D29" s="55">
        <f>D28*Assumptions!C13</f>
        <v>360</v>
      </c>
      <c r="E29" s="55">
        <f>E28*Assumptions!C13</f>
        <v>360</v>
      </c>
      <c r="F29" s="55">
        <f>F28*Assumptions!C13</f>
        <v>360</v>
      </c>
      <c r="G29" s="55">
        <f>G28*Assumptions!C13</f>
        <v>360</v>
      </c>
      <c r="H29" s="55">
        <f>H28*Assumptions!C13</f>
        <v>360</v>
      </c>
      <c r="I29" s="55">
        <f>I28*Assumptions!C13</f>
        <v>360</v>
      </c>
      <c r="J29" s="55">
        <f>J28*Assumptions!C13</f>
        <v>360</v>
      </c>
      <c r="K29" s="55">
        <f>K28*Assumptions!C13</f>
        <v>360</v>
      </c>
      <c r="L29" s="55">
        <f>L28*Assumptions!C13</f>
        <v>360</v>
      </c>
      <c r="M29" s="55">
        <f>M28*Assumptions!C13</f>
        <v>360</v>
      </c>
      <c r="N29" s="55">
        <f>N28*Assumptions!C13</f>
        <v>360</v>
      </c>
      <c r="O29" s="55">
        <f>O28*Assumptions!C13</f>
        <v>360</v>
      </c>
      <c r="P29" s="56">
        <f t="shared" si="4"/>
        <v>4680</v>
      </c>
    </row>
    <row r="30" spans="2:16" ht="16.5" customHeight="1" x14ac:dyDescent="0.25">
      <c r="B30" s="51" t="s">
        <v>133</v>
      </c>
      <c r="C30" s="52">
        <f ca="1">Assumptions!$C$18*(((DATE(YEAR(C$8),MONTH(C$8),MIN(Assumptions!$D$18,DAY(EOMONTH(C$8,0))))&gt;=C$8)*(DATE(YEAR(C$8),MONTH(C$8),MIN(Assumptions!$D$18,DAY(EOMONTH(C$8,0))))&lt;=C$8+6))+IF(DATE(YEAR(C$8+6),MONTH(C$8+6),MIN(Assumptions!$D$18,DAY(EOMONTH(C$8+6,0))))=DATE(YEAR(C$8),MONTH(C$8),MIN(Assumptions!$D$18,DAY(EOMONTH(C$8,0)))),0,((DATE(YEAR(C$8+6),MONTH(C$8+6),MIN(Assumptions!$D$18,DAY(EOMONTH(C$8+6,0))))&gt;=C$8)*(DATE(YEAR(C$8+6),MONTH(C$8+6),MIN(Assumptions!$D$18,DAY(EOMONTH(C$8+6,0))))&lt;=C$8+6))))</f>
        <v>0</v>
      </c>
      <c r="D30" s="52">
        <f ca="1">Assumptions!$C$18*(((DATE(YEAR(D$8),MONTH(D$8),MIN(Assumptions!$D$18,DAY(EOMONTH(D$8,0))))&gt;=D$8)*(DATE(YEAR(D$8),MONTH(D$8),MIN(Assumptions!$D$18,DAY(EOMONTH(D$8,0))))&lt;=D$8+6))+IF(DATE(YEAR(D$8+6),MONTH(D$8+6),MIN(Assumptions!$D$18,DAY(EOMONTH(D$8+6,0))))=DATE(YEAR(D$8),MONTH(D$8),MIN(Assumptions!$D$18,DAY(EOMONTH(D$8,0)))),0,((DATE(YEAR(D$8+6),MONTH(D$8+6),MIN(Assumptions!$D$18,DAY(EOMONTH(D$8+6,0))))&gt;=D$8)*(DATE(YEAR(D$8+6),MONTH(D$8+6),MIN(Assumptions!$D$18,DAY(EOMONTH(D$8+6,0))))&lt;=D$8+6))))</f>
        <v>0</v>
      </c>
      <c r="E30" s="52">
        <f ca="1">Assumptions!$C$18*(((DATE(YEAR(E$8),MONTH(E$8),MIN(Assumptions!$D$18,DAY(EOMONTH(E$8,0))))&gt;=E$8)*(DATE(YEAR(E$8),MONTH(E$8),MIN(Assumptions!$D$18,DAY(EOMONTH(E$8,0))))&lt;=E$8+6))+IF(DATE(YEAR(E$8+6),MONTH(E$8+6),MIN(Assumptions!$D$18,DAY(EOMONTH(E$8+6,0))))=DATE(YEAR(E$8),MONTH(E$8),MIN(Assumptions!$D$18,DAY(EOMONTH(E$8,0)))),0,((DATE(YEAR(E$8+6),MONTH(E$8+6),MIN(Assumptions!$D$18,DAY(EOMONTH(E$8+6,0))))&gt;=E$8)*(DATE(YEAR(E$8+6),MONTH(E$8+6),MIN(Assumptions!$D$18,DAY(EOMONTH(E$8+6,0))))&lt;=E$8+6))))</f>
        <v>3500</v>
      </c>
      <c r="F30" s="52">
        <f ca="1">Assumptions!$C$18*(((DATE(YEAR(F$8),MONTH(F$8),MIN(Assumptions!$D$18,DAY(EOMONTH(F$8,0))))&gt;=F$8)*(DATE(YEAR(F$8),MONTH(F$8),MIN(Assumptions!$D$18,DAY(EOMONTH(F$8,0))))&lt;=F$8+6))+IF(DATE(YEAR(F$8+6),MONTH(F$8+6),MIN(Assumptions!$D$18,DAY(EOMONTH(F$8+6,0))))=DATE(YEAR(F$8),MONTH(F$8),MIN(Assumptions!$D$18,DAY(EOMONTH(F$8,0)))),0,((DATE(YEAR(F$8+6),MONTH(F$8+6),MIN(Assumptions!$D$18,DAY(EOMONTH(F$8+6,0))))&gt;=F$8)*(DATE(YEAR(F$8+6),MONTH(F$8+6),MIN(Assumptions!$D$18,DAY(EOMONTH(F$8+6,0))))&lt;=F$8+6))))</f>
        <v>0</v>
      </c>
      <c r="G30" s="52">
        <f ca="1">Assumptions!$C$18*(((DATE(YEAR(G$8),MONTH(G$8),MIN(Assumptions!$D$18,DAY(EOMONTH(G$8,0))))&gt;=G$8)*(DATE(YEAR(G$8),MONTH(G$8),MIN(Assumptions!$D$18,DAY(EOMONTH(G$8,0))))&lt;=G$8+6))+IF(DATE(YEAR(G$8+6),MONTH(G$8+6),MIN(Assumptions!$D$18,DAY(EOMONTH(G$8+6,0))))=DATE(YEAR(G$8),MONTH(G$8),MIN(Assumptions!$D$18,DAY(EOMONTH(G$8,0)))),0,((DATE(YEAR(G$8+6),MONTH(G$8+6),MIN(Assumptions!$D$18,DAY(EOMONTH(G$8+6,0))))&gt;=G$8)*(DATE(YEAR(G$8+6),MONTH(G$8+6),MIN(Assumptions!$D$18,DAY(EOMONTH(G$8+6,0))))&lt;=G$8+6))))</f>
        <v>0</v>
      </c>
      <c r="H30" s="52">
        <f ca="1">Assumptions!$C$18*(((DATE(YEAR(H$8),MONTH(H$8),MIN(Assumptions!$D$18,DAY(EOMONTH(H$8,0))))&gt;=H$8)*(DATE(YEAR(H$8),MONTH(H$8),MIN(Assumptions!$D$18,DAY(EOMONTH(H$8,0))))&lt;=H$8+6))+IF(DATE(YEAR(H$8+6),MONTH(H$8+6),MIN(Assumptions!$D$18,DAY(EOMONTH(H$8+6,0))))=DATE(YEAR(H$8),MONTH(H$8),MIN(Assumptions!$D$18,DAY(EOMONTH(H$8,0)))),0,((DATE(YEAR(H$8+6),MONTH(H$8+6),MIN(Assumptions!$D$18,DAY(EOMONTH(H$8+6,0))))&gt;=H$8)*(DATE(YEAR(H$8+6),MONTH(H$8+6),MIN(Assumptions!$D$18,DAY(EOMONTH(H$8+6,0))))&lt;=H$8+6))))</f>
        <v>0</v>
      </c>
      <c r="I30" s="52">
        <f ca="1">Assumptions!$C$18*(((DATE(YEAR(I$8),MONTH(I$8),MIN(Assumptions!$D$18,DAY(EOMONTH(I$8,0))))&gt;=I$8)*(DATE(YEAR(I$8),MONTH(I$8),MIN(Assumptions!$D$18,DAY(EOMONTH(I$8,0))))&lt;=I$8+6))+IF(DATE(YEAR(I$8+6),MONTH(I$8+6),MIN(Assumptions!$D$18,DAY(EOMONTH(I$8+6,0))))=DATE(YEAR(I$8),MONTH(I$8),MIN(Assumptions!$D$18,DAY(EOMONTH(I$8,0)))),0,((DATE(YEAR(I$8+6),MONTH(I$8+6),MIN(Assumptions!$D$18,DAY(EOMONTH(I$8+6,0))))&gt;=I$8)*(DATE(YEAR(I$8+6),MONTH(I$8+6),MIN(Assumptions!$D$18,DAY(EOMONTH(I$8+6,0))))&lt;=I$8+6))))</f>
        <v>3500</v>
      </c>
      <c r="J30" s="52">
        <f ca="1">Assumptions!$C$18*(((DATE(YEAR(J$8),MONTH(J$8),MIN(Assumptions!$D$18,DAY(EOMONTH(J$8,0))))&gt;=J$8)*(DATE(YEAR(J$8),MONTH(J$8),MIN(Assumptions!$D$18,DAY(EOMONTH(J$8,0))))&lt;=J$8+6))+IF(DATE(YEAR(J$8+6),MONTH(J$8+6),MIN(Assumptions!$D$18,DAY(EOMONTH(J$8+6,0))))=DATE(YEAR(J$8),MONTH(J$8),MIN(Assumptions!$D$18,DAY(EOMONTH(J$8,0)))),0,((DATE(YEAR(J$8+6),MONTH(J$8+6),MIN(Assumptions!$D$18,DAY(EOMONTH(J$8+6,0))))&gt;=J$8)*(DATE(YEAR(J$8+6),MONTH(J$8+6),MIN(Assumptions!$D$18,DAY(EOMONTH(J$8+6,0))))&lt;=J$8+6))))</f>
        <v>0</v>
      </c>
      <c r="K30" s="52">
        <f ca="1">Assumptions!$C$18*(((DATE(YEAR(K$8),MONTH(K$8),MIN(Assumptions!$D$18,DAY(EOMONTH(K$8,0))))&gt;=K$8)*(DATE(YEAR(K$8),MONTH(K$8),MIN(Assumptions!$D$18,DAY(EOMONTH(K$8,0))))&lt;=K$8+6))+IF(DATE(YEAR(K$8+6),MONTH(K$8+6),MIN(Assumptions!$D$18,DAY(EOMONTH(K$8+6,0))))=DATE(YEAR(K$8),MONTH(K$8),MIN(Assumptions!$D$18,DAY(EOMONTH(K$8,0)))),0,((DATE(YEAR(K$8+6),MONTH(K$8+6),MIN(Assumptions!$D$18,DAY(EOMONTH(K$8+6,0))))&gt;=K$8)*(DATE(YEAR(K$8+6),MONTH(K$8+6),MIN(Assumptions!$D$18,DAY(EOMONTH(K$8+6,0))))&lt;=K$8+6))))</f>
        <v>0</v>
      </c>
      <c r="L30" s="52">
        <f ca="1">Assumptions!$C$18*(((DATE(YEAR(L$8),MONTH(L$8),MIN(Assumptions!$D$18,DAY(EOMONTH(L$8,0))))&gt;=L$8)*(DATE(YEAR(L$8),MONTH(L$8),MIN(Assumptions!$D$18,DAY(EOMONTH(L$8,0))))&lt;=L$8+6))+IF(DATE(YEAR(L$8+6),MONTH(L$8+6),MIN(Assumptions!$D$18,DAY(EOMONTH(L$8+6,0))))=DATE(YEAR(L$8),MONTH(L$8),MIN(Assumptions!$D$18,DAY(EOMONTH(L$8,0)))),0,((DATE(YEAR(L$8+6),MONTH(L$8+6),MIN(Assumptions!$D$18,DAY(EOMONTH(L$8+6,0))))&gt;=L$8)*(DATE(YEAR(L$8+6),MONTH(L$8+6),MIN(Assumptions!$D$18,DAY(EOMONTH(L$8+6,0))))&lt;=L$8+6))))</f>
        <v>0</v>
      </c>
      <c r="M30" s="52">
        <f ca="1">Assumptions!$C$18*(((DATE(YEAR(M$8),MONTH(M$8),MIN(Assumptions!$D$18,DAY(EOMONTH(M$8,0))))&gt;=M$8)*(DATE(YEAR(M$8),MONTH(M$8),MIN(Assumptions!$D$18,DAY(EOMONTH(M$8,0))))&lt;=M$8+6))+IF(DATE(YEAR(M$8+6),MONTH(M$8+6),MIN(Assumptions!$D$18,DAY(EOMONTH(M$8+6,0))))=DATE(YEAR(M$8),MONTH(M$8),MIN(Assumptions!$D$18,DAY(EOMONTH(M$8,0)))),0,((DATE(YEAR(M$8+6),MONTH(M$8+6),MIN(Assumptions!$D$18,DAY(EOMONTH(M$8+6,0))))&gt;=M$8)*(DATE(YEAR(M$8+6),MONTH(M$8+6),MIN(Assumptions!$D$18,DAY(EOMONTH(M$8+6,0))))&lt;=M$8+6))))</f>
        <v>0</v>
      </c>
      <c r="N30" s="52">
        <f ca="1">Assumptions!$C$18*(((DATE(YEAR(N$8),MONTH(N$8),MIN(Assumptions!$D$18,DAY(EOMONTH(N$8,0))))&gt;=N$8)*(DATE(YEAR(N$8),MONTH(N$8),MIN(Assumptions!$D$18,DAY(EOMONTH(N$8,0))))&lt;=N$8+6))+IF(DATE(YEAR(N$8+6),MONTH(N$8+6),MIN(Assumptions!$D$18,DAY(EOMONTH(N$8+6,0))))=DATE(YEAR(N$8),MONTH(N$8),MIN(Assumptions!$D$18,DAY(EOMONTH(N$8,0)))),0,((DATE(YEAR(N$8+6),MONTH(N$8+6),MIN(Assumptions!$D$18,DAY(EOMONTH(N$8+6,0))))&gt;=N$8)*(DATE(YEAR(N$8+6),MONTH(N$8+6),MIN(Assumptions!$D$18,DAY(EOMONTH(N$8+6,0))))&lt;=N$8+6))))</f>
        <v>3500</v>
      </c>
      <c r="O30" s="52">
        <f ca="1">Assumptions!$C$18*(((DATE(YEAR(O$8),MONTH(O$8),MIN(Assumptions!$D$18,DAY(EOMONTH(O$8,0))))&gt;=O$8)*(DATE(YEAR(O$8),MONTH(O$8),MIN(Assumptions!$D$18,DAY(EOMONTH(O$8,0))))&lt;=O$8+6))+IF(DATE(YEAR(O$8+6),MONTH(O$8+6),MIN(Assumptions!$D$18,DAY(EOMONTH(O$8+6,0))))=DATE(YEAR(O$8),MONTH(O$8),MIN(Assumptions!$D$18,DAY(EOMONTH(O$8,0)))),0,((DATE(YEAR(O$8+6),MONTH(O$8+6),MIN(Assumptions!$D$18,DAY(EOMONTH(O$8+6,0))))&gt;=O$8)*(DATE(YEAR(O$8+6),MONTH(O$8+6),MIN(Assumptions!$D$18,DAY(EOMONTH(O$8+6,0))))&lt;=O$8+6))))</f>
        <v>0</v>
      </c>
      <c r="P30" s="53">
        <f t="shared" ca="1" si="4"/>
        <v>10500</v>
      </c>
    </row>
    <row r="31" spans="2:16" ht="16.5" customHeight="1" x14ac:dyDescent="0.25">
      <c r="B31" s="54" t="s">
        <v>134</v>
      </c>
      <c r="C31" s="55">
        <f ca="1">Assumptions!$C$19*(((DATE(YEAR(C$8),MONTH(C$8),MIN(Assumptions!$D$19,DAY(EOMONTH(C$8,0))))&gt;=C$8)*(DATE(YEAR(C$8),MONTH(C$8),MIN(Assumptions!$D$19,DAY(EOMONTH(C$8,0))))&lt;=C$8+6))+IF(DATE(YEAR(C$8+6),MONTH(C$8+6),MIN(Assumptions!$D$19,DAY(EOMONTH(C$8+6,0))))=DATE(YEAR(C$8),MONTH(C$8),MIN(Assumptions!$D$19,DAY(EOMONTH(C$8,0)))),0,((DATE(YEAR(C$8+6),MONTH(C$8+6),MIN(Assumptions!$D$19,DAY(EOMONTH(C$8+6,0))))&gt;=C$8)*(DATE(YEAR(C$8+6),MONTH(C$8+6),MIN(Assumptions!$D$19,DAY(EOMONTH(C$8+6,0))))&lt;=C$8+6))))</f>
        <v>0</v>
      </c>
      <c r="D31" s="55">
        <f ca="1">Assumptions!$C$19*(((DATE(YEAR(D$8),MONTH(D$8),MIN(Assumptions!$D$19,DAY(EOMONTH(D$8,0))))&gt;=D$8)*(DATE(YEAR(D$8),MONTH(D$8),MIN(Assumptions!$D$19,DAY(EOMONTH(D$8,0))))&lt;=D$8+6))+IF(DATE(YEAR(D$8+6),MONTH(D$8+6),MIN(Assumptions!$D$19,DAY(EOMONTH(D$8+6,0))))=DATE(YEAR(D$8),MONTH(D$8),MIN(Assumptions!$D$19,DAY(EOMONTH(D$8,0)))),0,((DATE(YEAR(D$8+6),MONTH(D$8+6),MIN(Assumptions!$D$19,DAY(EOMONTH(D$8+6,0))))&gt;=D$8)*(DATE(YEAR(D$8+6),MONTH(D$8+6),MIN(Assumptions!$D$19,DAY(EOMONTH(D$8+6,0))))&lt;=D$8+6))))</f>
        <v>0</v>
      </c>
      <c r="E31" s="55">
        <f ca="1">Assumptions!$C$19*(((DATE(YEAR(E$8),MONTH(E$8),MIN(Assumptions!$D$19,DAY(EOMONTH(E$8,0))))&gt;=E$8)*(DATE(YEAR(E$8),MONTH(E$8),MIN(Assumptions!$D$19,DAY(EOMONTH(E$8,0))))&lt;=E$8+6))+IF(DATE(YEAR(E$8+6),MONTH(E$8+6),MIN(Assumptions!$D$19,DAY(EOMONTH(E$8+6,0))))=DATE(YEAR(E$8),MONTH(E$8),MIN(Assumptions!$D$19,DAY(EOMONTH(E$8,0)))),0,((DATE(YEAR(E$8+6),MONTH(E$8+6),MIN(Assumptions!$D$19,DAY(EOMONTH(E$8+6,0))))&gt;=E$8)*(DATE(YEAR(E$8+6),MONTH(E$8+6),MIN(Assumptions!$D$19,DAY(EOMONTH(E$8+6,0))))&lt;=E$8+6))))</f>
        <v>0</v>
      </c>
      <c r="F31" s="55">
        <f ca="1">Assumptions!$C$19*(((DATE(YEAR(F$8),MONTH(F$8),MIN(Assumptions!$D$19,DAY(EOMONTH(F$8,0))))&gt;=F$8)*(DATE(YEAR(F$8),MONTH(F$8),MIN(Assumptions!$D$19,DAY(EOMONTH(F$8,0))))&lt;=F$8+6))+IF(DATE(YEAR(F$8+6),MONTH(F$8+6),MIN(Assumptions!$D$19,DAY(EOMONTH(F$8+6,0))))=DATE(YEAR(F$8),MONTH(F$8),MIN(Assumptions!$D$19,DAY(EOMONTH(F$8,0)))),0,((DATE(YEAR(F$8+6),MONTH(F$8+6),MIN(Assumptions!$D$19,DAY(EOMONTH(F$8+6,0))))&gt;=F$8)*(DATE(YEAR(F$8+6),MONTH(F$8+6),MIN(Assumptions!$D$19,DAY(EOMONTH(F$8+6,0))))&lt;=F$8+6))))</f>
        <v>0</v>
      </c>
      <c r="G31" s="55">
        <f ca="1">Assumptions!$C$19*(((DATE(YEAR(G$8),MONTH(G$8),MIN(Assumptions!$D$19,DAY(EOMONTH(G$8,0))))&gt;=G$8)*(DATE(YEAR(G$8),MONTH(G$8),MIN(Assumptions!$D$19,DAY(EOMONTH(G$8,0))))&lt;=G$8+6))+IF(DATE(YEAR(G$8+6),MONTH(G$8+6),MIN(Assumptions!$D$19,DAY(EOMONTH(G$8+6,0))))=DATE(YEAR(G$8),MONTH(G$8),MIN(Assumptions!$D$19,DAY(EOMONTH(G$8,0)))),0,((DATE(YEAR(G$8+6),MONTH(G$8+6),MIN(Assumptions!$D$19,DAY(EOMONTH(G$8+6,0))))&gt;=G$8)*(DATE(YEAR(G$8+6),MONTH(G$8+6),MIN(Assumptions!$D$19,DAY(EOMONTH(G$8+6,0))))&lt;=G$8+6))))</f>
        <v>2200</v>
      </c>
      <c r="H31" s="55">
        <f ca="1">Assumptions!$C$19*(((DATE(YEAR(H$8),MONTH(H$8),MIN(Assumptions!$D$19,DAY(EOMONTH(H$8,0))))&gt;=H$8)*(DATE(YEAR(H$8),MONTH(H$8),MIN(Assumptions!$D$19,DAY(EOMONTH(H$8,0))))&lt;=H$8+6))+IF(DATE(YEAR(H$8+6),MONTH(H$8+6),MIN(Assumptions!$D$19,DAY(EOMONTH(H$8+6,0))))=DATE(YEAR(H$8),MONTH(H$8),MIN(Assumptions!$D$19,DAY(EOMONTH(H$8,0)))),0,((DATE(YEAR(H$8+6),MONTH(H$8+6),MIN(Assumptions!$D$19,DAY(EOMONTH(H$8+6,0))))&gt;=H$8)*(DATE(YEAR(H$8+6),MONTH(H$8+6),MIN(Assumptions!$D$19,DAY(EOMONTH(H$8+6,0))))&lt;=H$8+6))))</f>
        <v>0</v>
      </c>
      <c r="I31" s="55">
        <f ca="1">Assumptions!$C$19*(((DATE(YEAR(I$8),MONTH(I$8),MIN(Assumptions!$D$19,DAY(EOMONTH(I$8,0))))&gt;=I$8)*(DATE(YEAR(I$8),MONTH(I$8),MIN(Assumptions!$D$19,DAY(EOMONTH(I$8,0))))&lt;=I$8+6))+IF(DATE(YEAR(I$8+6),MONTH(I$8+6),MIN(Assumptions!$D$19,DAY(EOMONTH(I$8+6,0))))=DATE(YEAR(I$8),MONTH(I$8),MIN(Assumptions!$D$19,DAY(EOMONTH(I$8,0)))),0,((DATE(YEAR(I$8+6),MONTH(I$8+6),MIN(Assumptions!$D$19,DAY(EOMONTH(I$8+6,0))))&gt;=I$8)*(DATE(YEAR(I$8+6),MONTH(I$8+6),MIN(Assumptions!$D$19,DAY(EOMONTH(I$8+6,0))))&lt;=I$8+6))))</f>
        <v>0</v>
      </c>
      <c r="J31" s="55">
        <f ca="1">Assumptions!$C$19*(((DATE(YEAR(J$8),MONTH(J$8),MIN(Assumptions!$D$19,DAY(EOMONTH(J$8,0))))&gt;=J$8)*(DATE(YEAR(J$8),MONTH(J$8),MIN(Assumptions!$D$19,DAY(EOMONTH(J$8,0))))&lt;=J$8+6))+IF(DATE(YEAR(J$8+6),MONTH(J$8+6),MIN(Assumptions!$D$19,DAY(EOMONTH(J$8+6,0))))=DATE(YEAR(J$8),MONTH(J$8),MIN(Assumptions!$D$19,DAY(EOMONTH(J$8,0)))),0,((DATE(YEAR(J$8+6),MONTH(J$8+6),MIN(Assumptions!$D$19,DAY(EOMONTH(J$8+6,0))))&gt;=J$8)*(DATE(YEAR(J$8+6),MONTH(J$8+6),MIN(Assumptions!$D$19,DAY(EOMONTH(J$8+6,0))))&lt;=J$8+6))))</f>
        <v>0</v>
      </c>
      <c r="K31" s="55">
        <f ca="1">Assumptions!$C$19*(((DATE(YEAR(K$8),MONTH(K$8),MIN(Assumptions!$D$19,DAY(EOMONTH(K$8,0))))&gt;=K$8)*(DATE(YEAR(K$8),MONTH(K$8),MIN(Assumptions!$D$19,DAY(EOMONTH(K$8,0))))&lt;=K$8+6))+IF(DATE(YEAR(K$8+6),MONTH(K$8+6),MIN(Assumptions!$D$19,DAY(EOMONTH(K$8+6,0))))=DATE(YEAR(K$8),MONTH(K$8),MIN(Assumptions!$D$19,DAY(EOMONTH(K$8,0)))),0,((DATE(YEAR(K$8+6),MONTH(K$8+6),MIN(Assumptions!$D$19,DAY(EOMONTH(K$8+6,0))))&gt;=K$8)*(DATE(YEAR(K$8+6),MONTH(K$8+6),MIN(Assumptions!$D$19,DAY(EOMONTH(K$8+6,0))))&lt;=K$8+6))))</f>
        <v>2200</v>
      </c>
      <c r="L31" s="55">
        <f ca="1">Assumptions!$C$19*(((DATE(YEAR(L$8),MONTH(L$8),MIN(Assumptions!$D$19,DAY(EOMONTH(L$8,0))))&gt;=L$8)*(DATE(YEAR(L$8),MONTH(L$8),MIN(Assumptions!$D$19,DAY(EOMONTH(L$8,0))))&lt;=L$8+6))+IF(DATE(YEAR(L$8+6),MONTH(L$8+6),MIN(Assumptions!$D$19,DAY(EOMONTH(L$8+6,0))))=DATE(YEAR(L$8),MONTH(L$8),MIN(Assumptions!$D$19,DAY(EOMONTH(L$8,0)))),0,((DATE(YEAR(L$8+6),MONTH(L$8+6),MIN(Assumptions!$D$19,DAY(EOMONTH(L$8+6,0))))&gt;=L$8)*(DATE(YEAR(L$8+6),MONTH(L$8+6),MIN(Assumptions!$D$19,DAY(EOMONTH(L$8+6,0))))&lt;=L$8+6))))</f>
        <v>0</v>
      </c>
      <c r="M31" s="55">
        <f ca="1">Assumptions!$C$19*(((DATE(YEAR(M$8),MONTH(M$8),MIN(Assumptions!$D$19,DAY(EOMONTH(M$8,0))))&gt;=M$8)*(DATE(YEAR(M$8),MONTH(M$8),MIN(Assumptions!$D$19,DAY(EOMONTH(M$8,0))))&lt;=M$8+6))+IF(DATE(YEAR(M$8+6),MONTH(M$8+6),MIN(Assumptions!$D$19,DAY(EOMONTH(M$8+6,0))))=DATE(YEAR(M$8),MONTH(M$8),MIN(Assumptions!$D$19,DAY(EOMONTH(M$8,0)))),0,((DATE(YEAR(M$8+6),MONTH(M$8+6),MIN(Assumptions!$D$19,DAY(EOMONTH(M$8+6,0))))&gt;=M$8)*(DATE(YEAR(M$8+6),MONTH(M$8+6),MIN(Assumptions!$D$19,DAY(EOMONTH(M$8+6,0))))&lt;=M$8+6))))</f>
        <v>0</v>
      </c>
      <c r="N31" s="55">
        <f ca="1">Assumptions!$C$19*(((DATE(YEAR(N$8),MONTH(N$8),MIN(Assumptions!$D$19,DAY(EOMONTH(N$8,0))))&gt;=N$8)*(DATE(YEAR(N$8),MONTH(N$8),MIN(Assumptions!$D$19,DAY(EOMONTH(N$8,0))))&lt;=N$8+6))+IF(DATE(YEAR(N$8+6),MONTH(N$8+6),MIN(Assumptions!$D$19,DAY(EOMONTH(N$8+6,0))))=DATE(YEAR(N$8),MONTH(N$8),MIN(Assumptions!$D$19,DAY(EOMONTH(N$8,0)))),0,((DATE(YEAR(N$8+6),MONTH(N$8+6),MIN(Assumptions!$D$19,DAY(EOMONTH(N$8+6,0))))&gt;=N$8)*(DATE(YEAR(N$8+6),MONTH(N$8+6),MIN(Assumptions!$D$19,DAY(EOMONTH(N$8+6,0))))&lt;=N$8+6))))</f>
        <v>0</v>
      </c>
      <c r="O31" s="55">
        <f ca="1">Assumptions!$C$19*(((DATE(YEAR(O$8),MONTH(O$8),MIN(Assumptions!$D$19,DAY(EOMONTH(O$8,0))))&gt;=O$8)*(DATE(YEAR(O$8),MONTH(O$8),MIN(Assumptions!$D$19,DAY(EOMONTH(O$8,0))))&lt;=O$8+6))+IF(DATE(YEAR(O$8+6),MONTH(O$8+6),MIN(Assumptions!$D$19,DAY(EOMONTH(O$8+6,0))))=DATE(YEAR(O$8),MONTH(O$8),MIN(Assumptions!$D$19,DAY(EOMONTH(O$8,0)))),0,((DATE(YEAR(O$8+6),MONTH(O$8+6),MIN(Assumptions!$D$19,DAY(EOMONTH(O$8+6,0))))&gt;=O$8)*(DATE(YEAR(O$8+6),MONTH(O$8+6),MIN(Assumptions!$D$19,DAY(EOMONTH(O$8+6,0))))&lt;=O$8+6))))</f>
        <v>0</v>
      </c>
      <c r="P31" s="56">
        <f t="shared" ca="1" si="4"/>
        <v>4400</v>
      </c>
    </row>
    <row r="32" spans="2:16" ht="16.5" customHeight="1" x14ac:dyDescent="0.25">
      <c r="B32" s="51" t="s">
        <v>135</v>
      </c>
      <c r="C32" s="52">
        <f ca="1">Assumptions!$C$20*(((DATE(YEAR(C$8),MONTH(C$8),MIN(Assumptions!$D$20,DAY(EOMONTH(C$8,0))))&gt;=C$8)*(DATE(YEAR(C$8),MONTH(C$8),MIN(Assumptions!$D$20,DAY(EOMONTH(C$8,0))))&lt;=C$8+6))+IF(DATE(YEAR(C$8+6),MONTH(C$8+6),MIN(Assumptions!$D$20,DAY(EOMONTH(C$8+6,0))))=DATE(YEAR(C$8),MONTH(C$8),MIN(Assumptions!$D$20,DAY(EOMONTH(C$8,0)))),0,((DATE(YEAR(C$8+6),MONTH(C$8+6),MIN(Assumptions!$D$20,DAY(EOMONTH(C$8+6,0))))&gt;=C$8)*(DATE(YEAR(C$8+6),MONTH(C$8+6),MIN(Assumptions!$D$20,DAY(EOMONTH(C$8+6,0))))&lt;=C$8+6))))</f>
        <v>0</v>
      </c>
      <c r="D32" s="52">
        <f ca="1">Assumptions!$C$20*(((DATE(YEAR(D$8),MONTH(D$8),MIN(Assumptions!$D$20,DAY(EOMONTH(D$8,0))))&gt;=D$8)*(DATE(YEAR(D$8),MONTH(D$8),MIN(Assumptions!$D$20,DAY(EOMONTH(D$8,0))))&lt;=D$8+6))+IF(DATE(YEAR(D$8+6),MONTH(D$8+6),MIN(Assumptions!$D$20,DAY(EOMONTH(D$8+6,0))))=DATE(YEAR(D$8),MONTH(D$8),MIN(Assumptions!$D$20,DAY(EOMONTH(D$8,0)))),0,((DATE(YEAR(D$8+6),MONTH(D$8+6),MIN(Assumptions!$D$20,DAY(EOMONTH(D$8+6,0))))&gt;=D$8)*(DATE(YEAR(D$8+6),MONTH(D$8+6),MIN(Assumptions!$D$20,DAY(EOMONTH(D$8+6,0))))&lt;=D$8+6))))</f>
        <v>1800</v>
      </c>
      <c r="E32" s="52">
        <f ca="1">Assumptions!$C$20*(((DATE(YEAR(E$8),MONTH(E$8),MIN(Assumptions!$D$20,DAY(EOMONTH(E$8,0))))&gt;=E$8)*(DATE(YEAR(E$8),MONTH(E$8),MIN(Assumptions!$D$20,DAY(EOMONTH(E$8,0))))&lt;=E$8+6))+IF(DATE(YEAR(E$8+6),MONTH(E$8+6),MIN(Assumptions!$D$20,DAY(EOMONTH(E$8+6,0))))=DATE(YEAR(E$8),MONTH(E$8),MIN(Assumptions!$D$20,DAY(EOMONTH(E$8,0)))),0,((DATE(YEAR(E$8+6),MONTH(E$8+6),MIN(Assumptions!$D$20,DAY(EOMONTH(E$8+6,0))))&gt;=E$8)*(DATE(YEAR(E$8+6),MONTH(E$8+6),MIN(Assumptions!$D$20,DAY(EOMONTH(E$8+6,0))))&lt;=E$8+6))))</f>
        <v>0</v>
      </c>
      <c r="F32" s="52">
        <f ca="1">Assumptions!$C$20*(((DATE(YEAR(F$8),MONTH(F$8),MIN(Assumptions!$D$20,DAY(EOMONTH(F$8,0))))&gt;=F$8)*(DATE(YEAR(F$8),MONTH(F$8),MIN(Assumptions!$D$20,DAY(EOMONTH(F$8,0))))&lt;=F$8+6))+IF(DATE(YEAR(F$8+6),MONTH(F$8+6),MIN(Assumptions!$D$20,DAY(EOMONTH(F$8+6,0))))=DATE(YEAR(F$8),MONTH(F$8),MIN(Assumptions!$D$20,DAY(EOMONTH(F$8,0)))),0,((DATE(YEAR(F$8+6),MONTH(F$8+6),MIN(Assumptions!$D$20,DAY(EOMONTH(F$8+6,0))))&gt;=F$8)*(DATE(YEAR(F$8+6),MONTH(F$8+6),MIN(Assumptions!$D$20,DAY(EOMONTH(F$8+6,0))))&lt;=F$8+6))))</f>
        <v>0</v>
      </c>
      <c r="G32" s="52">
        <f ca="1">Assumptions!$C$20*(((DATE(YEAR(G$8),MONTH(G$8),MIN(Assumptions!$D$20,DAY(EOMONTH(G$8,0))))&gt;=G$8)*(DATE(YEAR(G$8),MONTH(G$8),MIN(Assumptions!$D$20,DAY(EOMONTH(G$8,0))))&lt;=G$8+6))+IF(DATE(YEAR(G$8+6),MONTH(G$8+6),MIN(Assumptions!$D$20,DAY(EOMONTH(G$8+6,0))))=DATE(YEAR(G$8),MONTH(G$8),MIN(Assumptions!$D$20,DAY(EOMONTH(G$8,0)))),0,((DATE(YEAR(G$8+6),MONTH(G$8+6),MIN(Assumptions!$D$20,DAY(EOMONTH(G$8+6,0))))&gt;=G$8)*(DATE(YEAR(G$8+6),MONTH(G$8+6),MIN(Assumptions!$D$20,DAY(EOMONTH(G$8+6,0))))&lt;=G$8+6))))</f>
        <v>0</v>
      </c>
      <c r="H32" s="52">
        <f ca="1">Assumptions!$C$20*(((DATE(YEAR(H$8),MONTH(H$8),MIN(Assumptions!$D$20,DAY(EOMONTH(H$8,0))))&gt;=H$8)*(DATE(YEAR(H$8),MONTH(H$8),MIN(Assumptions!$D$20,DAY(EOMONTH(H$8,0))))&lt;=H$8+6))+IF(DATE(YEAR(H$8+6),MONTH(H$8+6),MIN(Assumptions!$D$20,DAY(EOMONTH(H$8+6,0))))=DATE(YEAR(H$8),MONTH(H$8),MIN(Assumptions!$D$20,DAY(EOMONTH(H$8,0)))),0,((DATE(YEAR(H$8+6),MONTH(H$8+6),MIN(Assumptions!$D$20,DAY(EOMONTH(H$8+6,0))))&gt;=H$8)*(DATE(YEAR(H$8+6),MONTH(H$8+6),MIN(Assumptions!$D$20,DAY(EOMONTH(H$8+6,0))))&lt;=H$8+6))))</f>
        <v>1800</v>
      </c>
      <c r="I32" s="52">
        <f ca="1">Assumptions!$C$20*(((DATE(YEAR(I$8),MONTH(I$8),MIN(Assumptions!$D$20,DAY(EOMONTH(I$8,0))))&gt;=I$8)*(DATE(YEAR(I$8),MONTH(I$8),MIN(Assumptions!$D$20,DAY(EOMONTH(I$8,0))))&lt;=I$8+6))+IF(DATE(YEAR(I$8+6),MONTH(I$8+6),MIN(Assumptions!$D$20,DAY(EOMONTH(I$8+6,0))))=DATE(YEAR(I$8),MONTH(I$8),MIN(Assumptions!$D$20,DAY(EOMONTH(I$8,0)))),0,((DATE(YEAR(I$8+6),MONTH(I$8+6),MIN(Assumptions!$D$20,DAY(EOMONTH(I$8+6,0))))&gt;=I$8)*(DATE(YEAR(I$8+6),MONTH(I$8+6),MIN(Assumptions!$D$20,DAY(EOMONTH(I$8+6,0))))&lt;=I$8+6))))</f>
        <v>0</v>
      </c>
      <c r="J32" s="52">
        <f ca="1">Assumptions!$C$20*(((DATE(YEAR(J$8),MONTH(J$8),MIN(Assumptions!$D$20,DAY(EOMONTH(J$8,0))))&gt;=J$8)*(DATE(YEAR(J$8),MONTH(J$8),MIN(Assumptions!$D$20,DAY(EOMONTH(J$8,0))))&lt;=J$8+6))+IF(DATE(YEAR(J$8+6),MONTH(J$8+6),MIN(Assumptions!$D$20,DAY(EOMONTH(J$8+6,0))))=DATE(YEAR(J$8),MONTH(J$8),MIN(Assumptions!$D$20,DAY(EOMONTH(J$8,0)))),0,((DATE(YEAR(J$8+6),MONTH(J$8+6),MIN(Assumptions!$D$20,DAY(EOMONTH(J$8+6,0))))&gt;=J$8)*(DATE(YEAR(J$8+6),MONTH(J$8+6),MIN(Assumptions!$D$20,DAY(EOMONTH(J$8+6,0))))&lt;=J$8+6))))</f>
        <v>0</v>
      </c>
      <c r="K32" s="52">
        <f ca="1">Assumptions!$C$20*(((DATE(YEAR(K$8),MONTH(K$8),MIN(Assumptions!$D$20,DAY(EOMONTH(K$8,0))))&gt;=K$8)*(DATE(YEAR(K$8),MONTH(K$8),MIN(Assumptions!$D$20,DAY(EOMONTH(K$8,0))))&lt;=K$8+6))+IF(DATE(YEAR(K$8+6),MONTH(K$8+6),MIN(Assumptions!$D$20,DAY(EOMONTH(K$8+6,0))))=DATE(YEAR(K$8),MONTH(K$8),MIN(Assumptions!$D$20,DAY(EOMONTH(K$8,0)))),0,((DATE(YEAR(K$8+6),MONTH(K$8+6),MIN(Assumptions!$D$20,DAY(EOMONTH(K$8+6,0))))&gt;=K$8)*(DATE(YEAR(K$8+6),MONTH(K$8+6),MIN(Assumptions!$D$20,DAY(EOMONTH(K$8+6,0))))&lt;=K$8+6))))</f>
        <v>0</v>
      </c>
      <c r="L32" s="52">
        <f ca="1">Assumptions!$C$20*(((DATE(YEAR(L$8),MONTH(L$8),MIN(Assumptions!$D$20,DAY(EOMONTH(L$8,0))))&gt;=L$8)*(DATE(YEAR(L$8),MONTH(L$8),MIN(Assumptions!$D$20,DAY(EOMONTH(L$8,0))))&lt;=L$8+6))+IF(DATE(YEAR(L$8+6),MONTH(L$8+6),MIN(Assumptions!$D$20,DAY(EOMONTH(L$8+6,0))))=DATE(YEAR(L$8),MONTH(L$8),MIN(Assumptions!$D$20,DAY(EOMONTH(L$8,0)))),0,((DATE(YEAR(L$8+6),MONTH(L$8+6),MIN(Assumptions!$D$20,DAY(EOMONTH(L$8+6,0))))&gt;=L$8)*(DATE(YEAR(L$8+6),MONTH(L$8+6),MIN(Assumptions!$D$20,DAY(EOMONTH(L$8+6,0))))&lt;=L$8+6))))</f>
        <v>0</v>
      </c>
      <c r="M32" s="52">
        <f ca="1">Assumptions!$C$20*(((DATE(YEAR(M$8),MONTH(M$8),MIN(Assumptions!$D$20,DAY(EOMONTH(M$8,0))))&gt;=M$8)*(DATE(YEAR(M$8),MONTH(M$8),MIN(Assumptions!$D$20,DAY(EOMONTH(M$8,0))))&lt;=M$8+6))+IF(DATE(YEAR(M$8+6),MONTH(M$8+6),MIN(Assumptions!$D$20,DAY(EOMONTH(M$8+6,0))))=DATE(YEAR(M$8),MONTH(M$8),MIN(Assumptions!$D$20,DAY(EOMONTH(M$8,0)))),0,((DATE(YEAR(M$8+6),MONTH(M$8+6),MIN(Assumptions!$D$20,DAY(EOMONTH(M$8+6,0))))&gt;=M$8)*(DATE(YEAR(M$8+6),MONTH(M$8+6),MIN(Assumptions!$D$20,DAY(EOMONTH(M$8+6,0))))&lt;=M$8+6))))</f>
        <v>1800</v>
      </c>
      <c r="N32" s="52">
        <f ca="1">Assumptions!$C$20*(((DATE(YEAR(N$8),MONTH(N$8),MIN(Assumptions!$D$20,DAY(EOMONTH(N$8,0))))&gt;=N$8)*(DATE(YEAR(N$8),MONTH(N$8),MIN(Assumptions!$D$20,DAY(EOMONTH(N$8,0))))&lt;=N$8+6))+IF(DATE(YEAR(N$8+6),MONTH(N$8+6),MIN(Assumptions!$D$20,DAY(EOMONTH(N$8+6,0))))=DATE(YEAR(N$8),MONTH(N$8),MIN(Assumptions!$D$20,DAY(EOMONTH(N$8,0)))),0,((DATE(YEAR(N$8+6),MONTH(N$8+6),MIN(Assumptions!$D$20,DAY(EOMONTH(N$8+6,0))))&gt;=N$8)*(DATE(YEAR(N$8+6),MONTH(N$8+6),MIN(Assumptions!$D$20,DAY(EOMONTH(N$8+6,0))))&lt;=N$8+6))))</f>
        <v>0</v>
      </c>
      <c r="O32" s="52">
        <f ca="1">Assumptions!$C$20*(((DATE(YEAR(O$8),MONTH(O$8),MIN(Assumptions!$D$20,DAY(EOMONTH(O$8,0))))&gt;=O$8)*(DATE(YEAR(O$8),MONTH(O$8),MIN(Assumptions!$D$20,DAY(EOMONTH(O$8,0))))&lt;=O$8+6))+IF(DATE(YEAR(O$8+6),MONTH(O$8+6),MIN(Assumptions!$D$20,DAY(EOMONTH(O$8+6,0))))=DATE(YEAR(O$8),MONTH(O$8),MIN(Assumptions!$D$20,DAY(EOMONTH(O$8,0)))),0,((DATE(YEAR(O$8+6),MONTH(O$8+6),MIN(Assumptions!$D$20,DAY(EOMONTH(O$8+6,0))))&gt;=O$8)*(DATE(YEAR(O$8+6),MONTH(O$8+6),MIN(Assumptions!$D$20,DAY(EOMONTH(O$8+6,0))))&lt;=O$8+6))))</f>
        <v>0</v>
      </c>
      <c r="P32" s="53">
        <f t="shared" ca="1" si="4"/>
        <v>5400</v>
      </c>
    </row>
    <row r="33" spans="2:16" ht="16.5" customHeight="1" x14ac:dyDescent="0.25">
      <c r="B33" s="54" t="s">
        <v>136</v>
      </c>
      <c r="C33" s="55">
        <f ca="1">Assumptions!$C$21*(((DATE(YEAR(C$8),MONTH(C$8),MIN(Assumptions!$D$21,DAY(EOMONTH(C$8,0))))&gt;=C$8)*(DATE(YEAR(C$8),MONTH(C$8),MIN(Assumptions!$D$21,DAY(EOMONTH(C$8,0))))&lt;=C$8+6))+IF(DATE(YEAR(C$8+6),MONTH(C$8+6),MIN(Assumptions!$D$21,DAY(EOMONTH(C$8+6,0))))=DATE(YEAR(C$8),MONTH(C$8),MIN(Assumptions!$D$21,DAY(EOMONTH(C$8,0)))),0,((DATE(YEAR(C$8+6),MONTH(C$8+6),MIN(Assumptions!$D$21,DAY(EOMONTH(C$8+6,0))))&gt;=C$8)*(DATE(YEAR(C$8+6),MONTH(C$8+6),MIN(Assumptions!$D$21,DAY(EOMONTH(C$8+6,0))))&lt;=C$8+6))))</f>
        <v>600</v>
      </c>
      <c r="D33" s="55">
        <f ca="1">Assumptions!$C$21*(((DATE(YEAR(D$8),MONTH(D$8),MIN(Assumptions!$D$21,DAY(EOMONTH(D$8,0))))&gt;=D$8)*(DATE(YEAR(D$8),MONTH(D$8),MIN(Assumptions!$D$21,DAY(EOMONTH(D$8,0))))&lt;=D$8+6))+IF(DATE(YEAR(D$8+6),MONTH(D$8+6),MIN(Assumptions!$D$21,DAY(EOMONTH(D$8+6,0))))=DATE(YEAR(D$8),MONTH(D$8),MIN(Assumptions!$D$21,DAY(EOMONTH(D$8,0)))),0,((DATE(YEAR(D$8+6),MONTH(D$8+6),MIN(Assumptions!$D$21,DAY(EOMONTH(D$8+6,0))))&gt;=D$8)*(DATE(YEAR(D$8+6),MONTH(D$8+6),MIN(Assumptions!$D$21,DAY(EOMONTH(D$8+6,0))))&lt;=D$8+6))))</f>
        <v>0</v>
      </c>
      <c r="E33" s="55">
        <f ca="1">Assumptions!$C$21*(((DATE(YEAR(E$8),MONTH(E$8),MIN(Assumptions!$D$21,DAY(EOMONTH(E$8,0))))&gt;=E$8)*(DATE(YEAR(E$8),MONTH(E$8),MIN(Assumptions!$D$21,DAY(EOMONTH(E$8,0))))&lt;=E$8+6))+IF(DATE(YEAR(E$8+6),MONTH(E$8+6),MIN(Assumptions!$D$21,DAY(EOMONTH(E$8+6,0))))=DATE(YEAR(E$8),MONTH(E$8),MIN(Assumptions!$D$21,DAY(EOMONTH(E$8,0)))),0,((DATE(YEAR(E$8+6),MONTH(E$8+6),MIN(Assumptions!$D$21,DAY(EOMONTH(E$8+6,0))))&gt;=E$8)*(DATE(YEAR(E$8+6),MONTH(E$8+6),MIN(Assumptions!$D$21,DAY(EOMONTH(E$8+6,0))))&lt;=E$8+6))))</f>
        <v>0</v>
      </c>
      <c r="F33" s="55">
        <f ca="1">Assumptions!$C$21*(((DATE(YEAR(F$8),MONTH(F$8),MIN(Assumptions!$D$21,DAY(EOMONTH(F$8,0))))&gt;=F$8)*(DATE(YEAR(F$8),MONTH(F$8),MIN(Assumptions!$D$21,DAY(EOMONTH(F$8,0))))&lt;=F$8+6))+IF(DATE(YEAR(F$8+6),MONTH(F$8+6),MIN(Assumptions!$D$21,DAY(EOMONTH(F$8+6,0))))=DATE(YEAR(F$8),MONTH(F$8),MIN(Assumptions!$D$21,DAY(EOMONTH(F$8,0)))),0,((DATE(YEAR(F$8+6),MONTH(F$8+6),MIN(Assumptions!$D$21,DAY(EOMONTH(F$8+6,0))))&gt;=F$8)*(DATE(YEAR(F$8+6),MONTH(F$8+6),MIN(Assumptions!$D$21,DAY(EOMONTH(F$8+6,0))))&lt;=F$8+6))))</f>
        <v>0</v>
      </c>
      <c r="G33" s="55">
        <f ca="1">Assumptions!$C$21*(((DATE(YEAR(G$8),MONTH(G$8),MIN(Assumptions!$D$21,DAY(EOMONTH(G$8,0))))&gt;=G$8)*(DATE(YEAR(G$8),MONTH(G$8),MIN(Assumptions!$D$21,DAY(EOMONTH(G$8,0))))&lt;=G$8+6))+IF(DATE(YEAR(G$8+6),MONTH(G$8+6),MIN(Assumptions!$D$21,DAY(EOMONTH(G$8+6,0))))=DATE(YEAR(G$8),MONTH(G$8),MIN(Assumptions!$D$21,DAY(EOMONTH(G$8,0)))),0,((DATE(YEAR(G$8+6),MONTH(G$8+6),MIN(Assumptions!$D$21,DAY(EOMONTH(G$8+6,0))))&gt;=G$8)*(DATE(YEAR(G$8+6),MONTH(G$8+6),MIN(Assumptions!$D$21,DAY(EOMONTH(G$8+6,0))))&lt;=G$8+6))))</f>
        <v>600</v>
      </c>
      <c r="H33" s="55">
        <f ca="1">Assumptions!$C$21*(((DATE(YEAR(H$8),MONTH(H$8),MIN(Assumptions!$D$21,DAY(EOMONTH(H$8,0))))&gt;=H$8)*(DATE(YEAR(H$8),MONTH(H$8),MIN(Assumptions!$D$21,DAY(EOMONTH(H$8,0))))&lt;=H$8+6))+IF(DATE(YEAR(H$8+6),MONTH(H$8+6),MIN(Assumptions!$D$21,DAY(EOMONTH(H$8+6,0))))=DATE(YEAR(H$8),MONTH(H$8),MIN(Assumptions!$D$21,DAY(EOMONTH(H$8,0)))),0,((DATE(YEAR(H$8+6),MONTH(H$8+6),MIN(Assumptions!$D$21,DAY(EOMONTH(H$8+6,0))))&gt;=H$8)*(DATE(YEAR(H$8+6),MONTH(H$8+6),MIN(Assumptions!$D$21,DAY(EOMONTH(H$8+6,0))))&lt;=H$8+6))))</f>
        <v>0</v>
      </c>
      <c r="I33" s="55">
        <f ca="1">Assumptions!$C$21*(((DATE(YEAR(I$8),MONTH(I$8),MIN(Assumptions!$D$21,DAY(EOMONTH(I$8,0))))&gt;=I$8)*(DATE(YEAR(I$8),MONTH(I$8),MIN(Assumptions!$D$21,DAY(EOMONTH(I$8,0))))&lt;=I$8+6))+IF(DATE(YEAR(I$8+6),MONTH(I$8+6),MIN(Assumptions!$D$21,DAY(EOMONTH(I$8+6,0))))=DATE(YEAR(I$8),MONTH(I$8),MIN(Assumptions!$D$21,DAY(EOMONTH(I$8,0)))),0,((DATE(YEAR(I$8+6),MONTH(I$8+6),MIN(Assumptions!$D$21,DAY(EOMONTH(I$8+6,0))))&gt;=I$8)*(DATE(YEAR(I$8+6),MONTH(I$8+6),MIN(Assumptions!$D$21,DAY(EOMONTH(I$8+6,0))))&lt;=I$8+6))))</f>
        <v>0</v>
      </c>
      <c r="J33" s="55">
        <f ca="1">Assumptions!$C$21*(((DATE(YEAR(J$8),MONTH(J$8),MIN(Assumptions!$D$21,DAY(EOMONTH(J$8,0))))&gt;=J$8)*(DATE(YEAR(J$8),MONTH(J$8),MIN(Assumptions!$D$21,DAY(EOMONTH(J$8,0))))&lt;=J$8+6))+IF(DATE(YEAR(J$8+6),MONTH(J$8+6),MIN(Assumptions!$D$21,DAY(EOMONTH(J$8+6,0))))=DATE(YEAR(J$8),MONTH(J$8),MIN(Assumptions!$D$21,DAY(EOMONTH(J$8,0)))),0,((DATE(YEAR(J$8+6),MONTH(J$8+6),MIN(Assumptions!$D$21,DAY(EOMONTH(J$8+6,0))))&gt;=J$8)*(DATE(YEAR(J$8+6),MONTH(J$8+6),MIN(Assumptions!$D$21,DAY(EOMONTH(J$8+6,0))))&lt;=J$8+6))))</f>
        <v>0</v>
      </c>
      <c r="K33" s="55">
        <f ca="1">Assumptions!$C$21*(((DATE(YEAR(K$8),MONTH(K$8),MIN(Assumptions!$D$21,DAY(EOMONTH(K$8,0))))&gt;=K$8)*(DATE(YEAR(K$8),MONTH(K$8),MIN(Assumptions!$D$21,DAY(EOMONTH(K$8,0))))&lt;=K$8+6))+IF(DATE(YEAR(K$8+6),MONTH(K$8+6),MIN(Assumptions!$D$21,DAY(EOMONTH(K$8+6,0))))=DATE(YEAR(K$8),MONTH(K$8),MIN(Assumptions!$D$21,DAY(EOMONTH(K$8,0)))),0,((DATE(YEAR(K$8+6),MONTH(K$8+6),MIN(Assumptions!$D$21,DAY(EOMONTH(K$8+6,0))))&gt;=K$8)*(DATE(YEAR(K$8+6),MONTH(K$8+6),MIN(Assumptions!$D$21,DAY(EOMONTH(K$8+6,0))))&lt;=K$8+6))))</f>
        <v>0</v>
      </c>
      <c r="L33" s="55">
        <f ca="1">Assumptions!$C$21*(((DATE(YEAR(L$8),MONTH(L$8),MIN(Assumptions!$D$21,DAY(EOMONTH(L$8,0))))&gt;=L$8)*(DATE(YEAR(L$8),MONTH(L$8),MIN(Assumptions!$D$21,DAY(EOMONTH(L$8,0))))&lt;=L$8+6))+IF(DATE(YEAR(L$8+6),MONTH(L$8+6),MIN(Assumptions!$D$21,DAY(EOMONTH(L$8+6,0))))=DATE(YEAR(L$8),MONTH(L$8),MIN(Assumptions!$D$21,DAY(EOMONTH(L$8,0)))),0,((DATE(YEAR(L$8+6),MONTH(L$8+6),MIN(Assumptions!$D$21,DAY(EOMONTH(L$8+6,0))))&gt;=L$8)*(DATE(YEAR(L$8+6),MONTH(L$8+6),MIN(Assumptions!$D$21,DAY(EOMONTH(L$8+6,0))))&lt;=L$8+6))))</f>
        <v>600</v>
      </c>
      <c r="M33" s="55">
        <f ca="1">Assumptions!$C$21*(((DATE(YEAR(M$8),MONTH(M$8),MIN(Assumptions!$D$21,DAY(EOMONTH(M$8,0))))&gt;=M$8)*(DATE(YEAR(M$8),MONTH(M$8),MIN(Assumptions!$D$21,DAY(EOMONTH(M$8,0))))&lt;=M$8+6))+IF(DATE(YEAR(M$8+6),MONTH(M$8+6),MIN(Assumptions!$D$21,DAY(EOMONTH(M$8+6,0))))=DATE(YEAR(M$8),MONTH(M$8),MIN(Assumptions!$D$21,DAY(EOMONTH(M$8,0)))),0,((DATE(YEAR(M$8+6),MONTH(M$8+6),MIN(Assumptions!$D$21,DAY(EOMONTH(M$8+6,0))))&gt;=M$8)*(DATE(YEAR(M$8+6),MONTH(M$8+6),MIN(Assumptions!$D$21,DAY(EOMONTH(M$8+6,0))))&lt;=M$8+6))))</f>
        <v>0</v>
      </c>
      <c r="N33" s="55">
        <f ca="1">Assumptions!$C$21*(((DATE(YEAR(N$8),MONTH(N$8),MIN(Assumptions!$D$21,DAY(EOMONTH(N$8,0))))&gt;=N$8)*(DATE(YEAR(N$8),MONTH(N$8),MIN(Assumptions!$D$21,DAY(EOMONTH(N$8,0))))&lt;=N$8+6))+IF(DATE(YEAR(N$8+6),MONTH(N$8+6),MIN(Assumptions!$D$21,DAY(EOMONTH(N$8+6,0))))=DATE(YEAR(N$8),MONTH(N$8),MIN(Assumptions!$D$21,DAY(EOMONTH(N$8,0)))),0,((DATE(YEAR(N$8+6),MONTH(N$8+6),MIN(Assumptions!$D$21,DAY(EOMONTH(N$8+6,0))))&gt;=N$8)*(DATE(YEAR(N$8+6),MONTH(N$8+6),MIN(Assumptions!$D$21,DAY(EOMONTH(N$8+6,0))))&lt;=N$8+6))))</f>
        <v>0</v>
      </c>
      <c r="O33" s="55">
        <f ca="1">Assumptions!$C$21*(((DATE(YEAR(O$8),MONTH(O$8),MIN(Assumptions!$D$21,DAY(EOMONTH(O$8,0))))&gt;=O$8)*(DATE(YEAR(O$8),MONTH(O$8),MIN(Assumptions!$D$21,DAY(EOMONTH(O$8,0))))&lt;=O$8+6))+IF(DATE(YEAR(O$8+6),MONTH(O$8+6),MIN(Assumptions!$D$21,DAY(EOMONTH(O$8+6,0))))=DATE(YEAR(O$8),MONTH(O$8),MIN(Assumptions!$D$21,DAY(EOMONTH(O$8,0)))),0,((DATE(YEAR(O$8+6),MONTH(O$8+6),MIN(Assumptions!$D$21,DAY(EOMONTH(O$8+6,0))))&gt;=O$8)*(DATE(YEAR(O$8+6),MONTH(O$8+6),MIN(Assumptions!$D$21,DAY(EOMONTH(O$8+6,0))))&lt;=O$8+6))))</f>
        <v>0</v>
      </c>
      <c r="P33" s="56">
        <f t="shared" ca="1" si="4"/>
        <v>1800</v>
      </c>
    </row>
    <row r="34" spans="2:16" ht="16.5" customHeight="1" x14ac:dyDescent="0.25">
      <c r="B34" s="51" t="s">
        <v>137</v>
      </c>
      <c r="C34" s="52">
        <f ca="1">Assumptions!$C$22*(((DATE(YEAR(C$8),MONTH(C$8),MIN(Assumptions!$D$22,DAY(EOMONTH(C$8,0))))&gt;=C$8)*(DATE(YEAR(C$8),MONTH(C$8),MIN(Assumptions!$D$22,DAY(EOMONTH(C$8,0))))&lt;=C$8+6))+IF(DATE(YEAR(C$8+6),MONTH(C$8+6),MIN(Assumptions!$D$22,DAY(EOMONTH(C$8+6,0))))=DATE(YEAR(C$8),MONTH(C$8),MIN(Assumptions!$D$22,DAY(EOMONTH(C$8,0)))),0,((DATE(YEAR(C$8+6),MONTH(C$8+6),MIN(Assumptions!$D$22,DAY(EOMONTH(C$8+6,0))))&gt;=C$8)*(DATE(YEAR(C$8+6),MONTH(C$8+6),MIN(Assumptions!$D$22,DAY(EOMONTH(C$8+6,0))))&lt;=C$8+6))))</f>
        <v>0</v>
      </c>
      <c r="D34" s="52">
        <f ca="1">Assumptions!$C$22*(((DATE(YEAR(D$8),MONTH(D$8),MIN(Assumptions!$D$22,DAY(EOMONTH(D$8,0))))&gt;=D$8)*(DATE(YEAR(D$8),MONTH(D$8),MIN(Assumptions!$D$22,DAY(EOMONTH(D$8,0))))&lt;=D$8+6))+IF(DATE(YEAR(D$8+6),MONTH(D$8+6),MIN(Assumptions!$D$22,DAY(EOMONTH(D$8+6,0))))=DATE(YEAR(D$8),MONTH(D$8),MIN(Assumptions!$D$22,DAY(EOMONTH(D$8,0)))),0,((DATE(YEAR(D$8+6),MONTH(D$8+6),MIN(Assumptions!$D$22,DAY(EOMONTH(D$8+6,0))))&gt;=D$8)*(DATE(YEAR(D$8+6),MONTH(D$8+6),MIN(Assumptions!$D$22,DAY(EOMONTH(D$8+6,0))))&lt;=D$8+6))))</f>
        <v>0</v>
      </c>
      <c r="E34" s="52">
        <f ca="1">Assumptions!$C$22*(((DATE(YEAR(E$8),MONTH(E$8),MIN(Assumptions!$D$22,DAY(EOMONTH(E$8,0))))&gt;=E$8)*(DATE(YEAR(E$8),MONTH(E$8),MIN(Assumptions!$D$22,DAY(EOMONTH(E$8,0))))&lt;=E$8+6))+IF(DATE(YEAR(E$8+6),MONTH(E$8+6),MIN(Assumptions!$D$22,DAY(EOMONTH(E$8+6,0))))=DATE(YEAR(E$8),MONTH(E$8),MIN(Assumptions!$D$22,DAY(EOMONTH(E$8,0)))),0,((DATE(YEAR(E$8+6),MONTH(E$8+6),MIN(Assumptions!$D$22,DAY(EOMONTH(E$8+6,0))))&gt;=E$8)*(DATE(YEAR(E$8+6),MONTH(E$8+6),MIN(Assumptions!$D$22,DAY(EOMONTH(E$8+6,0))))&lt;=E$8+6))))</f>
        <v>400</v>
      </c>
      <c r="F34" s="52">
        <f ca="1">Assumptions!$C$22*(((DATE(YEAR(F$8),MONTH(F$8),MIN(Assumptions!$D$22,DAY(EOMONTH(F$8,0))))&gt;=F$8)*(DATE(YEAR(F$8),MONTH(F$8),MIN(Assumptions!$D$22,DAY(EOMONTH(F$8,0))))&lt;=F$8+6))+IF(DATE(YEAR(F$8+6),MONTH(F$8+6),MIN(Assumptions!$D$22,DAY(EOMONTH(F$8+6,0))))=DATE(YEAR(F$8),MONTH(F$8),MIN(Assumptions!$D$22,DAY(EOMONTH(F$8,0)))),0,((DATE(YEAR(F$8+6),MONTH(F$8+6),MIN(Assumptions!$D$22,DAY(EOMONTH(F$8+6,0))))&gt;=F$8)*(DATE(YEAR(F$8+6),MONTH(F$8+6),MIN(Assumptions!$D$22,DAY(EOMONTH(F$8+6,0))))&lt;=F$8+6))))</f>
        <v>0</v>
      </c>
      <c r="G34" s="52">
        <f ca="1">Assumptions!$C$22*(((DATE(YEAR(G$8),MONTH(G$8),MIN(Assumptions!$D$22,DAY(EOMONTH(G$8,0))))&gt;=G$8)*(DATE(YEAR(G$8),MONTH(G$8),MIN(Assumptions!$D$22,DAY(EOMONTH(G$8,0))))&lt;=G$8+6))+IF(DATE(YEAR(G$8+6),MONTH(G$8+6),MIN(Assumptions!$D$22,DAY(EOMONTH(G$8+6,0))))=DATE(YEAR(G$8),MONTH(G$8),MIN(Assumptions!$D$22,DAY(EOMONTH(G$8,0)))),0,((DATE(YEAR(G$8+6),MONTH(G$8+6),MIN(Assumptions!$D$22,DAY(EOMONTH(G$8+6,0))))&gt;=G$8)*(DATE(YEAR(G$8+6),MONTH(G$8+6),MIN(Assumptions!$D$22,DAY(EOMONTH(G$8+6,0))))&lt;=G$8+6))))</f>
        <v>0</v>
      </c>
      <c r="H34" s="52">
        <f ca="1">Assumptions!$C$22*(((DATE(YEAR(H$8),MONTH(H$8),MIN(Assumptions!$D$22,DAY(EOMONTH(H$8,0))))&gt;=H$8)*(DATE(YEAR(H$8),MONTH(H$8),MIN(Assumptions!$D$22,DAY(EOMONTH(H$8,0))))&lt;=H$8+6))+IF(DATE(YEAR(H$8+6),MONTH(H$8+6),MIN(Assumptions!$D$22,DAY(EOMONTH(H$8+6,0))))=DATE(YEAR(H$8),MONTH(H$8),MIN(Assumptions!$D$22,DAY(EOMONTH(H$8,0)))),0,((DATE(YEAR(H$8+6),MONTH(H$8+6),MIN(Assumptions!$D$22,DAY(EOMONTH(H$8+6,0))))&gt;=H$8)*(DATE(YEAR(H$8+6),MONTH(H$8+6),MIN(Assumptions!$D$22,DAY(EOMONTH(H$8+6,0))))&lt;=H$8+6))))</f>
        <v>0</v>
      </c>
      <c r="I34" s="52">
        <f ca="1">Assumptions!$C$22*(((DATE(YEAR(I$8),MONTH(I$8),MIN(Assumptions!$D$22,DAY(EOMONTH(I$8,0))))&gt;=I$8)*(DATE(YEAR(I$8),MONTH(I$8),MIN(Assumptions!$D$22,DAY(EOMONTH(I$8,0))))&lt;=I$8+6))+IF(DATE(YEAR(I$8+6),MONTH(I$8+6),MIN(Assumptions!$D$22,DAY(EOMONTH(I$8+6,0))))=DATE(YEAR(I$8),MONTH(I$8),MIN(Assumptions!$D$22,DAY(EOMONTH(I$8,0)))),0,((DATE(YEAR(I$8+6),MONTH(I$8+6),MIN(Assumptions!$D$22,DAY(EOMONTH(I$8+6,0))))&gt;=I$8)*(DATE(YEAR(I$8+6),MONTH(I$8+6),MIN(Assumptions!$D$22,DAY(EOMONTH(I$8+6,0))))&lt;=I$8+6))))</f>
        <v>400</v>
      </c>
      <c r="J34" s="52">
        <f ca="1">Assumptions!$C$22*(((DATE(YEAR(J$8),MONTH(J$8),MIN(Assumptions!$D$22,DAY(EOMONTH(J$8,0))))&gt;=J$8)*(DATE(YEAR(J$8),MONTH(J$8),MIN(Assumptions!$D$22,DAY(EOMONTH(J$8,0))))&lt;=J$8+6))+IF(DATE(YEAR(J$8+6),MONTH(J$8+6),MIN(Assumptions!$D$22,DAY(EOMONTH(J$8+6,0))))=DATE(YEAR(J$8),MONTH(J$8),MIN(Assumptions!$D$22,DAY(EOMONTH(J$8,0)))),0,((DATE(YEAR(J$8+6),MONTH(J$8+6),MIN(Assumptions!$D$22,DAY(EOMONTH(J$8+6,0))))&gt;=J$8)*(DATE(YEAR(J$8+6),MONTH(J$8+6),MIN(Assumptions!$D$22,DAY(EOMONTH(J$8+6,0))))&lt;=J$8+6))))</f>
        <v>0</v>
      </c>
      <c r="K34" s="52">
        <f ca="1">Assumptions!$C$22*(((DATE(YEAR(K$8),MONTH(K$8),MIN(Assumptions!$D$22,DAY(EOMONTH(K$8,0))))&gt;=K$8)*(DATE(YEAR(K$8),MONTH(K$8),MIN(Assumptions!$D$22,DAY(EOMONTH(K$8,0))))&lt;=K$8+6))+IF(DATE(YEAR(K$8+6),MONTH(K$8+6),MIN(Assumptions!$D$22,DAY(EOMONTH(K$8+6,0))))=DATE(YEAR(K$8),MONTH(K$8),MIN(Assumptions!$D$22,DAY(EOMONTH(K$8,0)))),0,((DATE(YEAR(K$8+6),MONTH(K$8+6),MIN(Assumptions!$D$22,DAY(EOMONTH(K$8+6,0))))&gt;=K$8)*(DATE(YEAR(K$8+6),MONTH(K$8+6),MIN(Assumptions!$D$22,DAY(EOMONTH(K$8+6,0))))&lt;=K$8+6))))</f>
        <v>0</v>
      </c>
      <c r="L34" s="52">
        <f ca="1">Assumptions!$C$22*(((DATE(YEAR(L$8),MONTH(L$8),MIN(Assumptions!$D$22,DAY(EOMONTH(L$8,0))))&gt;=L$8)*(DATE(YEAR(L$8),MONTH(L$8),MIN(Assumptions!$D$22,DAY(EOMONTH(L$8,0))))&lt;=L$8+6))+IF(DATE(YEAR(L$8+6),MONTH(L$8+6),MIN(Assumptions!$D$22,DAY(EOMONTH(L$8+6,0))))=DATE(YEAR(L$8),MONTH(L$8),MIN(Assumptions!$D$22,DAY(EOMONTH(L$8,0)))),0,((DATE(YEAR(L$8+6),MONTH(L$8+6),MIN(Assumptions!$D$22,DAY(EOMONTH(L$8+6,0))))&gt;=L$8)*(DATE(YEAR(L$8+6),MONTH(L$8+6),MIN(Assumptions!$D$22,DAY(EOMONTH(L$8+6,0))))&lt;=L$8+6))))</f>
        <v>0</v>
      </c>
      <c r="M34" s="52">
        <f ca="1">Assumptions!$C$22*(((DATE(YEAR(M$8),MONTH(M$8),MIN(Assumptions!$D$22,DAY(EOMONTH(M$8,0))))&gt;=M$8)*(DATE(YEAR(M$8),MONTH(M$8),MIN(Assumptions!$D$22,DAY(EOMONTH(M$8,0))))&lt;=M$8+6))+IF(DATE(YEAR(M$8+6),MONTH(M$8+6),MIN(Assumptions!$D$22,DAY(EOMONTH(M$8+6,0))))=DATE(YEAR(M$8),MONTH(M$8),MIN(Assumptions!$D$22,DAY(EOMONTH(M$8,0)))),0,((DATE(YEAR(M$8+6),MONTH(M$8+6),MIN(Assumptions!$D$22,DAY(EOMONTH(M$8+6,0))))&gt;=M$8)*(DATE(YEAR(M$8+6),MONTH(M$8+6),MIN(Assumptions!$D$22,DAY(EOMONTH(M$8+6,0))))&lt;=M$8+6))))</f>
        <v>0</v>
      </c>
      <c r="N34" s="52">
        <f ca="1">Assumptions!$C$22*(((DATE(YEAR(N$8),MONTH(N$8),MIN(Assumptions!$D$22,DAY(EOMONTH(N$8,0))))&gt;=N$8)*(DATE(YEAR(N$8),MONTH(N$8),MIN(Assumptions!$D$22,DAY(EOMONTH(N$8,0))))&lt;=N$8+6))+IF(DATE(YEAR(N$8+6),MONTH(N$8+6),MIN(Assumptions!$D$22,DAY(EOMONTH(N$8+6,0))))=DATE(YEAR(N$8),MONTH(N$8),MIN(Assumptions!$D$22,DAY(EOMONTH(N$8,0)))),0,((DATE(YEAR(N$8+6),MONTH(N$8+6),MIN(Assumptions!$D$22,DAY(EOMONTH(N$8+6,0))))&gt;=N$8)*(DATE(YEAR(N$8+6),MONTH(N$8+6),MIN(Assumptions!$D$22,DAY(EOMONTH(N$8+6,0))))&lt;=N$8+6))))</f>
        <v>400</v>
      </c>
      <c r="O34" s="52">
        <f ca="1">Assumptions!$C$22*(((DATE(YEAR(O$8),MONTH(O$8),MIN(Assumptions!$D$22,DAY(EOMONTH(O$8,0))))&gt;=O$8)*(DATE(YEAR(O$8),MONTH(O$8),MIN(Assumptions!$D$22,DAY(EOMONTH(O$8,0))))&lt;=O$8+6))+IF(DATE(YEAR(O$8+6),MONTH(O$8+6),MIN(Assumptions!$D$22,DAY(EOMONTH(O$8+6,0))))=DATE(YEAR(O$8),MONTH(O$8),MIN(Assumptions!$D$22,DAY(EOMONTH(O$8,0)))),0,((DATE(YEAR(O$8+6),MONTH(O$8+6),MIN(Assumptions!$D$22,DAY(EOMONTH(O$8+6,0))))&gt;=O$8)*(DATE(YEAR(O$8+6),MONTH(O$8+6),MIN(Assumptions!$D$22,DAY(EOMONTH(O$8+6,0))))&lt;=O$8+6))))</f>
        <v>0</v>
      </c>
      <c r="P34" s="53">
        <f t="shared" ca="1" si="4"/>
        <v>1200</v>
      </c>
    </row>
    <row r="35" spans="2:16" ht="16.5" customHeight="1" x14ac:dyDescent="0.25">
      <c r="B35" s="54" t="s">
        <v>138</v>
      </c>
      <c r="C35" s="55">
        <f ca="1">Assumptions!$C$23*(((DATE(YEAR(C$8),MONTH(C$8),MIN(Assumptions!$D$23,DAY(EOMONTH(C$8,0))))&gt;=C$8)*(DATE(YEAR(C$8),MONTH(C$8),MIN(Assumptions!$D$23,DAY(EOMONTH(C$8,0))))&lt;=C$8+6))+IF(DATE(YEAR(C$8+6),MONTH(C$8+6),MIN(Assumptions!$D$23,DAY(EOMONTH(C$8+6,0))))=DATE(YEAR(C$8),MONTH(C$8),MIN(Assumptions!$D$23,DAY(EOMONTH(C$8,0)))),0,((DATE(YEAR(C$8+6),MONTH(C$8+6),MIN(Assumptions!$D$23,DAY(EOMONTH(C$8+6,0))))&gt;=C$8)*(DATE(YEAR(C$8+6),MONTH(C$8+6),MIN(Assumptions!$D$23,DAY(EOMONTH(C$8+6,0))))&lt;=C$8+6))))</f>
        <v>0</v>
      </c>
      <c r="D35" s="55">
        <f ca="1">Assumptions!$C$23*(((DATE(YEAR(D$8),MONTH(D$8),MIN(Assumptions!$D$23,DAY(EOMONTH(D$8,0))))&gt;=D$8)*(DATE(YEAR(D$8),MONTH(D$8),MIN(Assumptions!$D$23,DAY(EOMONTH(D$8,0))))&lt;=D$8+6))+IF(DATE(YEAR(D$8+6),MONTH(D$8+6),MIN(Assumptions!$D$23,DAY(EOMONTH(D$8+6,0))))=DATE(YEAR(D$8),MONTH(D$8),MIN(Assumptions!$D$23,DAY(EOMONTH(D$8,0)))),0,((DATE(YEAR(D$8+6),MONTH(D$8+6),MIN(Assumptions!$D$23,DAY(EOMONTH(D$8+6,0))))&gt;=D$8)*(DATE(YEAR(D$8+6),MONTH(D$8+6),MIN(Assumptions!$D$23,DAY(EOMONTH(D$8+6,0))))&lt;=D$8+6))))</f>
        <v>0</v>
      </c>
      <c r="E35" s="55">
        <f ca="1">Assumptions!$C$23*(((DATE(YEAR(E$8),MONTH(E$8),MIN(Assumptions!$D$23,DAY(EOMONTH(E$8,0))))&gt;=E$8)*(DATE(YEAR(E$8),MONTH(E$8),MIN(Assumptions!$D$23,DAY(EOMONTH(E$8,0))))&lt;=E$8+6))+IF(DATE(YEAR(E$8+6),MONTH(E$8+6),MIN(Assumptions!$D$23,DAY(EOMONTH(E$8+6,0))))=DATE(YEAR(E$8),MONTH(E$8),MIN(Assumptions!$D$23,DAY(EOMONTH(E$8,0)))),0,((DATE(YEAR(E$8+6),MONTH(E$8+6),MIN(Assumptions!$D$23,DAY(EOMONTH(E$8+6,0))))&gt;=E$8)*(DATE(YEAR(E$8+6),MONTH(E$8+6),MIN(Assumptions!$D$23,DAY(EOMONTH(E$8+6,0))))&lt;=E$8+6))))</f>
        <v>0</v>
      </c>
      <c r="F35" s="55">
        <f ca="1">Assumptions!$C$23*(((DATE(YEAR(F$8),MONTH(F$8),MIN(Assumptions!$D$23,DAY(EOMONTH(F$8,0))))&gt;=F$8)*(DATE(YEAR(F$8),MONTH(F$8),MIN(Assumptions!$D$23,DAY(EOMONTH(F$8,0))))&lt;=F$8+6))+IF(DATE(YEAR(F$8+6),MONTH(F$8+6),MIN(Assumptions!$D$23,DAY(EOMONTH(F$8+6,0))))=DATE(YEAR(F$8),MONTH(F$8),MIN(Assumptions!$D$23,DAY(EOMONTH(F$8,0)))),0,((DATE(YEAR(F$8+6),MONTH(F$8+6),MIN(Assumptions!$D$23,DAY(EOMONTH(F$8+6,0))))&gt;=F$8)*(DATE(YEAR(F$8+6),MONTH(F$8+6),MIN(Assumptions!$D$23,DAY(EOMONTH(F$8+6,0))))&lt;=F$8+6))))</f>
        <v>0</v>
      </c>
      <c r="G35" s="55">
        <f ca="1">Assumptions!$C$23*(((DATE(YEAR(G$8),MONTH(G$8),MIN(Assumptions!$D$23,DAY(EOMONTH(G$8,0))))&gt;=G$8)*(DATE(YEAR(G$8),MONTH(G$8),MIN(Assumptions!$D$23,DAY(EOMONTH(G$8,0))))&lt;=G$8+6))+IF(DATE(YEAR(G$8+6),MONTH(G$8+6),MIN(Assumptions!$D$23,DAY(EOMONTH(G$8+6,0))))=DATE(YEAR(G$8),MONTH(G$8),MIN(Assumptions!$D$23,DAY(EOMONTH(G$8,0)))),0,((DATE(YEAR(G$8+6),MONTH(G$8+6),MIN(Assumptions!$D$23,DAY(EOMONTH(G$8+6,0))))&gt;=G$8)*(DATE(YEAR(G$8+6),MONTH(G$8+6),MIN(Assumptions!$D$23,DAY(EOMONTH(G$8+6,0))))&lt;=G$8+6))))</f>
        <v>0</v>
      </c>
      <c r="H35" s="55">
        <f ca="1">Assumptions!$C$23*(((DATE(YEAR(H$8),MONTH(H$8),MIN(Assumptions!$D$23,DAY(EOMONTH(H$8,0))))&gt;=H$8)*(DATE(YEAR(H$8),MONTH(H$8),MIN(Assumptions!$D$23,DAY(EOMONTH(H$8,0))))&lt;=H$8+6))+IF(DATE(YEAR(H$8+6),MONTH(H$8+6),MIN(Assumptions!$D$23,DAY(EOMONTH(H$8+6,0))))=DATE(YEAR(H$8),MONTH(H$8),MIN(Assumptions!$D$23,DAY(EOMONTH(H$8,0)))),0,((DATE(YEAR(H$8+6),MONTH(H$8+6),MIN(Assumptions!$D$23,DAY(EOMONTH(H$8+6,0))))&gt;=H$8)*(DATE(YEAR(H$8+6),MONTH(H$8+6),MIN(Assumptions!$D$23,DAY(EOMONTH(H$8+6,0))))&lt;=H$8+6))))</f>
        <v>0</v>
      </c>
      <c r="I35" s="55">
        <f ca="1">Assumptions!$C$23*(((DATE(YEAR(I$8),MONTH(I$8),MIN(Assumptions!$D$23,DAY(EOMONTH(I$8,0))))&gt;=I$8)*(DATE(YEAR(I$8),MONTH(I$8),MIN(Assumptions!$D$23,DAY(EOMONTH(I$8,0))))&lt;=I$8+6))+IF(DATE(YEAR(I$8+6),MONTH(I$8+6),MIN(Assumptions!$D$23,DAY(EOMONTH(I$8+6,0))))=DATE(YEAR(I$8),MONTH(I$8),MIN(Assumptions!$D$23,DAY(EOMONTH(I$8,0)))),0,((DATE(YEAR(I$8+6),MONTH(I$8+6),MIN(Assumptions!$D$23,DAY(EOMONTH(I$8+6,0))))&gt;=I$8)*(DATE(YEAR(I$8+6),MONTH(I$8+6),MIN(Assumptions!$D$23,DAY(EOMONTH(I$8+6,0))))&lt;=I$8+6))))</f>
        <v>0</v>
      </c>
      <c r="J35" s="55">
        <f ca="1">Assumptions!$C$23*(((DATE(YEAR(J$8),MONTH(J$8),MIN(Assumptions!$D$23,DAY(EOMONTH(J$8,0))))&gt;=J$8)*(DATE(YEAR(J$8),MONTH(J$8),MIN(Assumptions!$D$23,DAY(EOMONTH(J$8,0))))&lt;=J$8+6))+IF(DATE(YEAR(J$8+6),MONTH(J$8+6),MIN(Assumptions!$D$23,DAY(EOMONTH(J$8+6,0))))=DATE(YEAR(J$8),MONTH(J$8),MIN(Assumptions!$D$23,DAY(EOMONTH(J$8,0)))),0,((DATE(YEAR(J$8+6),MONTH(J$8+6),MIN(Assumptions!$D$23,DAY(EOMONTH(J$8+6,0))))&gt;=J$8)*(DATE(YEAR(J$8+6),MONTH(J$8+6),MIN(Assumptions!$D$23,DAY(EOMONTH(J$8+6,0))))&lt;=J$8+6))))</f>
        <v>0</v>
      </c>
      <c r="K35" s="55">
        <f ca="1">Assumptions!$C$23*(((DATE(YEAR(K$8),MONTH(K$8),MIN(Assumptions!$D$23,DAY(EOMONTH(K$8,0))))&gt;=K$8)*(DATE(YEAR(K$8),MONTH(K$8),MIN(Assumptions!$D$23,DAY(EOMONTH(K$8,0))))&lt;=K$8+6))+IF(DATE(YEAR(K$8+6),MONTH(K$8+6),MIN(Assumptions!$D$23,DAY(EOMONTH(K$8+6,0))))=DATE(YEAR(K$8),MONTH(K$8),MIN(Assumptions!$D$23,DAY(EOMONTH(K$8,0)))),0,((DATE(YEAR(K$8+6),MONTH(K$8+6),MIN(Assumptions!$D$23,DAY(EOMONTH(K$8+6,0))))&gt;=K$8)*(DATE(YEAR(K$8+6),MONTH(K$8+6),MIN(Assumptions!$D$23,DAY(EOMONTH(K$8+6,0))))&lt;=K$8+6))))</f>
        <v>0</v>
      </c>
      <c r="L35" s="55">
        <f ca="1">Assumptions!$C$23*(((DATE(YEAR(L$8),MONTH(L$8),MIN(Assumptions!$D$23,DAY(EOMONTH(L$8,0))))&gt;=L$8)*(DATE(YEAR(L$8),MONTH(L$8),MIN(Assumptions!$D$23,DAY(EOMONTH(L$8,0))))&lt;=L$8+6))+IF(DATE(YEAR(L$8+6),MONTH(L$8+6),MIN(Assumptions!$D$23,DAY(EOMONTH(L$8+6,0))))=DATE(YEAR(L$8),MONTH(L$8),MIN(Assumptions!$D$23,DAY(EOMONTH(L$8,0)))),0,((DATE(YEAR(L$8+6),MONTH(L$8+6),MIN(Assumptions!$D$23,DAY(EOMONTH(L$8+6,0))))&gt;=L$8)*(DATE(YEAR(L$8+6),MONTH(L$8+6),MIN(Assumptions!$D$23,DAY(EOMONTH(L$8+6,0))))&lt;=L$8+6))))</f>
        <v>0</v>
      </c>
      <c r="M35" s="55">
        <f ca="1">Assumptions!$C$23*(((DATE(YEAR(M$8),MONTH(M$8),MIN(Assumptions!$D$23,DAY(EOMONTH(M$8,0))))&gt;=M$8)*(DATE(YEAR(M$8),MONTH(M$8),MIN(Assumptions!$D$23,DAY(EOMONTH(M$8,0))))&lt;=M$8+6))+IF(DATE(YEAR(M$8+6),MONTH(M$8+6),MIN(Assumptions!$D$23,DAY(EOMONTH(M$8+6,0))))=DATE(YEAR(M$8),MONTH(M$8),MIN(Assumptions!$D$23,DAY(EOMONTH(M$8,0)))),0,((DATE(YEAR(M$8+6),MONTH(M$8+6),MIN(Assumptions!$D$23,DAY(EOMONTH(M$8+6,0))))&gt;=M$8)*(DATE(YEAR(M$8+6),MONTH(M$8+6),MIN(Assumptions!$D$23,DAY(EOMONTH(M$8+6,0))))&lt;=M$8+6))))</f>
        <v>0</v>
      </c>
      <c r="N35" s="55">
        <f ca="1">Assumptions!$C$23*(((DATE(YEAR(N$8),MONTH(N$8),MIN(Assumptions!$D$23,DAY(EOMONTH(N$8,0))))&gt;=N$8)*(DATE(YEAR(N$8),MONTH(N$8),MIN(Assumptions!$D$23,DAY(EOMONTH(N$8,0))))&lt;=N$8+6))+IF(DATE(YEAR(N$8+6),MONTH(N$8+6),MIN(Assumptions!$D$23,DAY(EOMONTH(N$8+6,0))))=DATE(YEAR(N$8),MONTH(N$8),MIN(Assumptions!$D$23,DAY(EOMONTH(N$8,0)))),0,((DATE(YEAR(N$8+6),MONTH(N$8+6),MIN(Assumptions!$D$23,DAY(EOMONTH(N$8+6,0))))&gt;=N$8)*(DATE(YEAR(N$8+6),MONTH(N$8+6),MIN(Assumptions!$D$23,DAY(EOMONTH(N$8+6,0))))&lt;=N$8+6))))</f>
        <v>0</v>
      </c>
      <c r="O35" s="55">
        <f ca="1">Assumptions!$C$23*(((DATE(YEAR(O$8),MONTH(O$8),MIN(Assumptions!$D$23,DAY(EOMONTH(O$8,0))))&gt;=O$8)*(DATE(YEAR(O$8),MONTH(O$8),MIN(Assumptions!$D$23,DAY(EOMONTH(O$8,0))))&lt;=O$8+6))+IF(DATE(YEAR(O$8+6),MONTH(O$8+6),MIN(Assumptions!$D$23,DAY(EOMONTH(O$8+6,0))))=DATE(YEAR(O$8),MONTH(O$8),MIN(Assumptions!$D$23,DAY(EOMONTH(O$8,0)))),0,((DATE(YEAR(O$8+6),MONTH(O$8+6),MIN(Assumptions!$D$23,DAY(EOMONTH(O$8+6,0))))&gt;=O$8)*(DATE(YEAR(O$8+6),MONTH(O$8+6),MIN(Assumptions!$D$23,DAY(EOMONTH(O$8+6,0))))&lt;=O$8+6))))</f>
        <v>0</v>
      </c>
      <c r="P35" s="56">
        <f t="shared" ca="1" si="4"/>
        <v>0</v>
      </c>
    </row>
    <row r="36" spans="2:16" ht="16.5" customHeight="1" x14ac:dyDescent="0.25">
      <c r="B36" s="57" t="s">
        <v>139</v>
      </c>
      <c r="C36" s="58">
        <v>0</v>
      </c>
      <c r="D36" s="58">
        <v>0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9">
        <f t="shared" si="4"/>
        <v>0</v>
      </c>
    </row>
    <row r="37" spans="2:16" ht="19.5" customHeight="1" x14ac:dyDescent="0.25">
      <c r="B37" s="60" t="s">
        <v>140</v>
      </c>
      <c r="C37" s="45">
        <f t="shared" ref="C37:O37" ca="1" si="5">SUM(C28:C36)</f>
        <v>2960</v>
      </c>
      <c r="D37" s="45">
        <f t="shared" ca="1" si="5"/>
        <v>4160</v>
      </c>
      <c r="E37" s="45">
        <f t="shared" ca="1" si="5"/>
        <v>6260</v>
      </c>
      <c r="F37" s="45">
        <f t="shared" ca="1" si="5"/>
        <v>2360</v>
      </c>
      <c r="G37" s="45">
        <f t="shared" ca="1" si="5"/>
        <v>5160</v>
      </c>
      <c r="H37" s="45">
        <f t="shared" ca="1" si="5"/>
        <v>4160</v>
      </c>
      <c r="I37" s="45">
        <f t="shared" ca="1" si="5"/>
        <v>6260</v>
      </c>
      <c r="J37" s="45">
        <f t="shared" ca="1" si="5"/>
        <v>2360</v>
      </c>
      <c r="K37" s="45">
        <f t="shared" ca="1" si="5"/>
        <v>4560</v>
      </c>
      <c r="L37" s="45">
        <f t="shared" ca="1" si="5"/>
        <v>2960</v>
      </c>
      <c r="M37" s="45">
        <f t="shared" ca="1" si="5"/>
        <v>4160</v>
      </c>
      <c r="N37" s="45">
        <f t="shared" ca="1" si="5"/>
        <v>6260</v>
      </c>
      <c r="O37" s="45">
        <f t="shared" ca="1" si="5"/>
        <v>2360</v>
      </c>
      <c r="P37" s="45">
        <f t="shared" ca="1" si="4"/>
        <v>53980</v>
      </c>
    </row>
    <row r="39" spans="2:16" ht="19.5" customHeight="1" x14ac:dyDescent="0.25">
      <c r="B39" s="8" t="s">
        <v>141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ht="16.5" customHeight="1" x14ac:dyDescent="0.25">
      <c r="B40" s="51" t="s">
        <v>142</v>
      </c>
      <c r="C40" s="52">
        <f ca="1">Assumptions!$C$27*(((DATE(YEAR(C$8),MONTH(C$8),MIN(Assumptions!$D$27,DAY(EOMONTH(C$8,0))))&gt;=C$8)*(DATE(YEAR(C$8),MONTH(C$8),MIN(Assumptions!$D$27,DAY(EOMONTH(C$8,0))))&lt;=C$8+6))+IF(DATE(YEAR(C$8+6),MONTH(C$8+6),MIN(Assumptions!$D$27,DAY(EOMONTH(C$8+6,0))))=DATE(YEAR(C$8),MONTH(C$8),MIN(Assumptions!$D$27,DAY(EOMONTH(C$8,0)))),0,((DATE(YEAR(C$8+6),MONTH(C$8+6),MIN(Assumptions!$D$27,DAY(EOMONTH(C$8+6,0))))&gt;=C$8)*(DATE(YEAR(C$8+6),MONTH(C$8+6),MIN(Assumptions!$D$27,DAY(EOMONTH(C$8+6,0))))&lt;=C$8+6))))</f>
        <v>0</v>
      </c>
      <c r="D40" s="52">
        <f ca="1">Assumptions!$C$27*(((DATE(YEAR(D$8),MONTH(D$8),MIN(Assumptions!$D$27,DAY(EOMONTH(D$8,0))))&gt;=D$8)*(DATE(YEAR(D$8),MONTH(D$8),MIN(Assumptions!$D$27,DAY(EOMONTH(D$8,0))))&lt;=D$8+6))+IF(DATE(YEAR(D$8+6),MONTH(D$8+6),MIN(Assumptions!$D$27,DAY(EOMONTH(D$8+6,0))))=DATE(YEAR(D$8),MONTH(D$8),MIN(Assumptions!$D$27,DAY(EOMONTH(D$8,0)))),0,((DATE(YEAR(D$8+6),MONTH(D$8+6),MIN(Assumptions!$D$27,DAY(EOMONTH(D$8+6,0))))&gt;=D$8)*(DATE(YEAR(D$8+6),MONTH(D$8+6),MIN(Assumptions!$D$27,DAY(EOMONTH(D$8+6,0))))&lt;=D$8+6))))</f>
        <v>0</v>
      </c>
      <c r="E40" s="52">
        <f ca="1">Assumptions!$C$27*(((DATE(YEAR(E$8),MONTH(E$8),MIN(Assumptions!$D$27,DAY(EOMONTH(E$8,0))))&gt;=E$8)*(DATE(YEAR(E$8),MONTH(E$8),MIN(Assumptions!$D$27,DAY(EOMONTH(E$8,0))))&lt;=E$8+6))+IF(DATE(YEAR(E$8+6),MONTH(E$8+6),MIN(Assumptions!$D$27,DAY(EOMONTH(E$8+6,0))))=DATE(YEAR(E$8),MONTH(E$8),MIN(Assumptions!$D$27,DAY(EOMONTH(E$8,0)))),0,((DATE(YEAR(E$8+6),MONTH(E$8+6),MIN(Assumptions!$D$27,DAY(EOMONTH(E$8+6,0))))&gt;=E$8)*(DATE(YEAR(E$8+6),MONTH(E$8+6),MIN(Assumptions!$D$27,DAY(EOMONTH(E$8+6,0))))&lt;=E$8+6))))</f>
        <v>0</v>
      </c>
      <c r="F40" s="52">
        <f ca="1">Assumptions!$C$27*(((DATE(YEAR(F$8),MONTH(F$8),MIN(Assumptions!$D$27,DAY(EOMONTH(F$8,0))))&gt;=F$8)*(DATE(YEAR(F$8),MONTH(F$8),MIN(Assumptions!$D$27,DAY(EOMONTH(F$8,0))))&lt;=F$8+6))+IF(DATE(YEAR(F$8+6),MONTH(F$8+6),MIN(Assumptions!$D$27,DAY(EOMONTH(F$8+6,0))))=DATE(YEAR(F$8),MONTH(F$8),MIN(Assumptions!$D$27,DAY(EOMONTH(F$8,0)))),0,((DATE(YEAR(F$8+6),MONTH(F$8+6),MIN(Assumptions!$D$27,DAY(EOMONTH(F$8+6,0))))&gt;=F$8)*(DATE(YEAR(F$8+6),MONTH(F$8+6),MIN(Assumptions!$D$27,DAY(EOMONTH(F$8+6,0))))&lt;=F$8+6))))</f>
        <v>2500</v>
      </c>
      <c r="G40" s="52">
        <f ca="1">Assumptions!$C$27*(((DATE(YEAR(G$8),MONTH(G$8),MIN(Assumptions!$D$27,DAY(EOMONTH(G$8,0))))&gt;=G$8)*(DATE(YEAR(G$8),MONTH(G$8),MIN(Assumptions!$D$27,DAY(EOMONTH(G$8,0))))&lt;=G$8+6))+IF(DATE(YEAR(G$8+6),MONTH(G$8+6),MIN(Assumptions!$D$27,DAY(EOMONTH(G$8+6,0))))=DATE(YEAR(G$8),MONTH(G$8),MIN(Assumptions!$D$27,DAY(EOMONTH(G$8,0)))),0,((DATE(YEAR(G$8+6),MONTH(G$8+6),MIN(Assumptions!$D$27,DAY(EOMONTH(G$8+6,0))))&gt;=G$8)*(DATE(YEAR(G$8+6),MONTH(G$8+6),MIN(Assumptions!$D$27,DAY(EOMONTH(G$8+6,0))))&lt;=G$8+6))))</f>
        <v>0</v>
      </c>
      <c r="H40" s="52">
        <f ca="1">Assumptions!$C$27*(((DATE(YEAR(H$8),MONTH(H$8),MIN(Assumptions!$D$27,DAY(EOMONTH(H$8,0))))&gt;=H$8)*(DATE(YEAR(H$8),MONTH(H$8),MIN(Assumptions!$D$27,DAY(EOMONTH(H$8,0))))&lt;=H$8+6))+IF(DATE(YEAR(H$8+6),MONTH(H$8+6),MIN(Assumptions!$D$27,DAY(EOMONTH(H$8+6,0))))=DATE(YEAR(H$8),MONTH(H$8),MIN(Assumptions!$D$27,DAY(EOMONTH(H$8,0)))),0,((DATE(YEAR(H$8+6),MONTH(H$8+6),MIN(Assumptions!$D$27,DAY(EOMONTH(H$8+6,0))))&gt;=H$8)*(DATE(YEAR(H$8+6),MONTH(H$8+6),MIN(Assumptions!$D$27,DAY(EOMONTH(H$8+6,0))))&lt;=H$8+6))))</f>
        <v>0</v>
      </c>
      <c r="I40" s="52">
        <f ca="1">Assumptions!$C$27*(((DATE(YEAR(I$8),MONTH(I$8),MIN(Assumptions!$D$27,DAY(EOMONTH(I$8,0))))&gt;=I$8)*(DATE(YEAR(I$8),MONTH(I$8),MIN(Assumptions!$D$27,DAY(EOMONTH(I$8,0))))&lt;=I$8+6))+IF(DATE(YEAR(I$8+6),MONTH(I$8+6),MIN(Assumptions!$D$27,DAY(EOMONTH(I$8+6,0))))=DATE(YEAR(I$8),MONTH(I$8),MIN(Assumptions!$D$27,DAY(EOMONTH(I$8,0)))),0,((DATE(YEAR(I$8+6),MONTH(I$8+6),MIN(Assumptions!$D$27,DAY(EOMONTH(I$8+6,0))))&gt;=I$8)*(DATE(YEAR(I$8+6),MONTH(I$8+6),MIN(Assumptions!$D$27,DAY(EOMONTH(I$8+6,0))))&lt;=I$8+6))))</f>
        <v>0</v>
      </c>
      <c r="J40" s="52">
        <f ca="1">Assumptions!$C$27*(((DATE(YEAR(J$8),MONTH(J$8),MIN(Assumptions!$D$27,DAY(EOMONTH(J$8,0))))&gt;=J$8)*(DATE(YEAR(J$8),MONTH(J$8),MIN(Assumptions!$D$27,DAY(EOMONTH(J$8,0))))&lt;=J$8+6))+IF(DATE(YEAR(J$8+6),MONTH(J$8+6),MIN(Assumptions!$D$27,DAY(EOMONTH(J$8+6,0))))=DATE(YEAR(J$8),MONTH(J$8),MIN(Assumptions!$D$27,DAY(EOMONTH(J$8,0)))),0,((DATE(YEAR(J$8+6),MONTH(J$8+6),MIN(Assumptions!$D$27,DAY(EOMONTH(J$8+6,0))))&gt;=J$8)*(DATE(YEAR(J$8+6),MONTH(J$8+6),MIN(Assumptions!$D$27,DAY(EOMONTH(J$8+6,0))))&lt;=J$8+6))))</f>
        <v>2500</v>
      </c>
      <c r="K40" s="52">
        <f ca="1">Assumptions!$C$27*(((DATE(YEAR(K$8),MONTH(K$8),MIN(Assumptions!$D$27,DAY(EOMONTH(K$8,0))))&gt;=K$8)*(DATE(YEAR(K$8),MONTH(K$8),MIN(Assumptions!$D$27,DAY(EOMONTH(K$8,0))))&lt;=K$8+6))+IF(DATE(YEAR(K$8+6),MONTH(K$8+6),MIN(Assumptions!$D$27,DAY(EOMONTH(K$8+6,0))))=DATE(YEAR(K$8),MONTH(K$8),MIN(Assumptions!$D$27,DAY(EOMONTH(K$8,0)))),0,((DATE(YEAR(K$8+6),MONTH(K$8+6),MIN(Assumptions!$D$27,DAY(EOMONTH(K$8+6,0))))&gt;=K$8)*(DATE(YEAR(K$8+6),MONTH(K$8+6),MIN(Assumptions!$D$27,DAY(EOMONTH(K$8+6,0))))&lt;=K$8+6))))</f>
        <v>0</v>
      </c>
      <c r="L40" s="52">
        <f ca="1">Assumptions!$C$27*(((DATE(YEAR(L$8),MONTH(L$8),MIN(Assumptions!$D$27,DAY(EOMONTH(L$8,0))))&gt;=L$8)*(DATE(YEAR(L$8),MONTH(L$8),MIN(Assumptions!$D$27,DAY(EOMONTH(L$8,0))))&lt;=L$8+6))+IF(DATE(YEAR(L$8+6),MONTH(L$8+6),MIN(Assumptions!$D$27,DAY(EOMONTH(L$8+6,0))))=DATE(YEAR(L$8),MONTH(L$8),MIN(Assumptions!$D$27,DAY(EOMONTH(L$8,0)))),0,((DATE(YEAR(L$8+6),MONTH(L$8+6),MIN(Assumptions!$D$27,DAY(EOMONTH(L$8+6,0))))&gt;=L$8)*(DATE(YEAR(L$8+6),MONTH(L$8+6),MIN(Assumptions!$D$27,DAY(EOMONTH(L$8+6,0))))&lt;=L$8+6))))</f>
        <v>0</v>
      </c>
      <c r="M40" s="52">
        <f ca="1">Assumptions!$C$27*(((DATE(YEAR(M$8),MONTH(M$8),MIN(Assumptions!$D$27,DAY(EOMONTH(M$8,0))))&gt;=M$8)*(DATE(YEAR(M$8),MONTH(M$8),MIN(Assumptions!$D$27,DAY(EOMONTH(M$8,0))))&lt;=M$8+6))+IF(DATE(YEAR(M$8+6),MONTH(M$8+6),MIN(Assumptions!$D$27,DAY(EOMONTH(M$8+6,0))))=DATE(YEAR(M$8),MONTH(M$8),MIN(Assumptions!$D$27,DAY(EOMONTH(M$8,0)))),0,((DATE(YEAR(M$8+6),MONTH(M$8+6),MIN(Assumptions!$D$27,DAY(EOMONTH(M$8+6,0))))&gt;=M$8)*(DATE(YEAR(M$8+6),MONTH(M$8+6),MIN(Assumptions!$D$27,DAY(EOMONTH(M$8+6,0))))&lt;=M$8+6))))</f>
        <v>0</v>
      </c>
      <c r="N40" s="52">
        <f ca="1">Assumptions!$C$27*(((DATE(YEAR(N$8),MONTH(N$8),MIN(Assumptions!$D$27,DAY(EOMONTH(N$8,0))))&gt;=N$8)*(DATE(YEAR(N$8),MONTH(N$8),MIN(Assumptions!$D$27,DAY(EOMONTH(N$8,0))))&lt;=N$8+6))+IF(DATE(YEAR(N$8+6),MONTH(N$8+6),MIN(Assumptions!$D$27,DAY(EOMONTH(N$8+6,0))))=DATE(YEAR(N$8),MONTH(N$8),MIN(Assumptions!$D$27,DAY(EOMONTH(N$8,0)))),0,((DATE(YEAR(N$8+6),MONTH(N$8+6),MIN(Assumptions!$D$27,DAY(EOMONTH(N$8+6,0))))&gt;=N$8)*(DATE(YEAR(N$8+6),MONTH(N$8+6),MIN(Assumptions!$D$27,DAY(EOMONTH(N$8+6,0))))&lt;=N$8+6))))</f>
        <v>0</v>
      </c>
      <c r="O40" s="52">
        <f ca="1">Assumptions!$C$27*(((DATE(YEAR(O$8),MONTH(O$8),MIN(Assumptions!$D$27,DAY(EOMONTH(O$8,0))))&gt;=O$8)*(DATE(YEAR(O$8),MONTH(O$8),MIN(Assumptions!$D$27,DAY(EOMONTH(O$8,0))))&lt;=O$8+6))+IF(DATE(YEAR(O$8+6),MONTH(O$8+6),MIN(Assumptions!$D$27,DAY(EOMONTH(O$8+6,0))))=DATE(YEAR(O$8),MONTH(O$8),MIN(Assumptions!$D$27,DAY(EOMONTH(O$8,0)))),0,((DATE(YEAR(O$8+6),MONTH(O$8+6),MIN(Assumptions!$D$27,DAY(EOMONTH(O$8+6,0))))&gt;=O$8)*(DATE(YEAR(O$8+6),MONTH(O$8+6),MIN(Assumptions!$D$27,DAY(EOMONTH(O$8+6,0))))&lt;=O$8+6))))</f>
        <v>2500</v>
      </c>
      <c r="P40" s="53">
        <f ca="1">SUM(C40:O40)</f>
        <v>7500</v>
      </c>
    </row>
    <row r="41" spans="2:16" ht="16.5" customHeight="1" x14ac:dyDescent="0.25">
      <c r="B41" s="61" t="s">
        <v>143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62">
        <f>SUM(C41:O41)</f>
        <v>0</v>
      </c>
    </row>
    <row r="42" spans="2:16" ht="16.5" customHeight="1" x14ac:dyDescent="0.25">
      <c r="B42" s="57" t="s">
        <v>144</v>
      </c>
      <c r="C42" s="58">
        <v>0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9">
        <f>SUM(C42:O42)</f>
        <v>0</v>
      </c>
    </row>
    <row r="43" spans="2:16" ht="16.5" customHeight="1" x14ac:dyDescent="0.25">
      <c r="B43" s="54" t="s">
        <v>145</v>
      </c>
      <c r="C43" s="55">
        <f>SUMIF(Assumptions!$D$31:$D$38,1,Assumptions!$C$31:$C$38)</f>
        <v>25000</v>
      </c>
      <c r="D43" s="55">
        <f>SUMIF(Assumptions!$D$31:$D$38,2,Assumptions!$C$31:$C$38)</f>
        <v>0</v>
      </c>
      <c r="E43" s="55">
        <f>SUMIF(Assumptions!$D$31:$D$38,3,Assumptions!$C$31:$C$38)</f>
        <v>0</v>
      </c>
      <c r="F43" s="55">
        <f>SUMIF(Assumptions!$D$31:$D$38,4,Assumptions!$C$31:$C$38)</f>
        <v>0</v>
      </c>
      <c r="G43" s="55">
        <f>SUMIF(Assumptions!$D$31:$D$38,5,Assumptions!$C$31:$C$38)</f>
        <v>0</v>
      </c>
      <c r="H43" s="55">
        <f>SUMIF(Assumptions!$D$31:$D$38,6,Assumptions!$C$31:$C$38)</f>
        <v>0</v>
      </c>
      <c r="I43" s="55">
        <f>SUMIF(Assumptions!$D$31:$D$38,7,Assumptions!$C$31:$C$38)</f>
        <v>0</v>
      </c>
      <c r="J43" s="55">
        <f>SUMIF(Assumptions!$D$31:$D$38,8,Assumptions!$C$31:$C$38)</f>
        <v>0</v>
      </c>
      <c r="K43" s="55">
        <f>SUMIF(Assumptions!$D$31:$D$38,9,Assumptions!$C$31:$C$38)</f>
        <v>0</v>
      </c>
      <c r="L43" s="55">
        <f>SUMIF(Assumptions!$D$31:$D$38,10,Assumptions!$C$31:$C$38)</f>
        <v>0</v>
      </c>
      <c r="M43" s="55">
        <f>SUMIF(Assumptions!$D$31:$D$38,11,Assumptions!$C$31:$C$38)</f>
        <v>0</v>
      </c>
      <c r="N43" s="55">
        <f>SUMIF(Assumptions!$D$31:$D$38,12,Assumptions!$C$31:$C$38)</f>
        <v>0</v>
      </c>
      <c r="O43" s="55">
        <f>SUMIF(Assumptions!$D$31:$D$38,13,Assumptions!$C$31:$C$38)</f>
        <v>0</v>
      </c>
      <c r="P43" s="56">
        <f>SUM(C43:O43)</f>
        <v>25000</v>
      </c>
    </row>
    <row r="44" spans="2:16" ht="19.5" customHeight="1" x14ac:dyDescent="0.25">
      <c r="B44" s="60" t="s">
        <v>146</v>
      </c>
      <c r="C44" s="45">
        <f t="shared" ref="C44:O44" ca="1" si="6">SUM(C40:C43)</f>
        <v>25000</v>
      </c>
      <c r="D44" s="45">
        <f t="shared" ca="1" si="6"/>
        <v>0</v>
      </c>
      <c r="E44" s="45">
        <f t="shared" ca="1" si="6"/>
        <v>0</v>
      </c>
      <c r="F44" s="45">
        <f t="shared" ca="1" si="6"/>
        <v>2500</v>
      </c>
      <c r="G44" s="45">
        <f t="shared" ca="1" si="6"/>
        <v>0</v>
      </c>
      <c r="H44" s="45">
        <f t="shared" ca="1" si="6"/>
        <v>0</v>
      </c>
      <c r="I44" s="45">
        <f t="shared" ca="1" si="6"/>
        <v>0</v>
      </c>
      <c r="J44" s="45">
        <f t="shared" ca="1" si="6"/>
        <v>2500</v>
      </c>
      <c r="K44" s="45">
        <f t="shared" ca="1" si="6"/>
        <v>0</v>
      </c>
      <c r="L44" s="45">
        <f t="shared" ca="1" si="6"/>
        <v>0</v>
      </c>
      <c r="M44" s="45">
        <f t="shared" ca="1" si="6"/>
        <v>0</v>
      </c>
      <c r="N44" s="45">
        <f t="shared" ca="1" si="6"/>
        <v>0</v>
      </c>
      <c r="O44" s="45">
        <f t="shared" ca="1" si="6"/>
        <v>2500</v>
      </c>
      <c r="P44" s="45">
        <f ca="1">SUM(C44:O44)</f>
        <v>32500</v>
      </c>
    </row>
    <row r="46" spans="2:16" ht="19.5" customHeight="1" x14ac:dyDescent="0.25">
      <c r="B46" s="60" t="s">
        <v>147</v>
      </c>
      <c r="C46" s="45">
        <f t="shared" ref="C46:O46" ca="1" si="7">C25+C37+C44</f>
        <v>63300</v>
      </c>
      <c r="D46" s="45">
        <f t="shared" ca="1" si="7"/>
        <v>55490</v>
      </c>
      <c r="E46" s="45">
        <f t="shared" ca="1" si="7"/>
        <v>35890</v>
      </c>
      <c r="F46" s="45">
        <f t="shared" ca="1" si="7"/>
        <v>51940</v>
      </c>
      <c r="G46" s="45">
        <f t="shared" ca="1" si="7"/>
        <v>5160</v>
      </c>
      <c r="H46" s="45">
        <f t="shared" ca="1" si="7"/>
        <v>4160</v>
      </c>
      <c r="I46" s="45">
        <f t="shared" ca="1" si="7"/>
        <v>6260</v>
      </c>
      <c r="J46" s="45">
        <f t="shared" ca="1" si="7"/>
        <v>4860</v>
      </c>
      <c r="K46" s="45">
        <f t="shared" ca="1" si="7"/>
        <v>4560</v>
      </c>
      <c r="L46" s="45">
        <f t="shared" ca="1" si="7"/>
        <v>2960</v>
      </c>
      <c r="M46" s="45">
        <f t="shared" ca="1" si="7"/>
        <v>4160</v>
      </c>
      <c r="N46" s="45">
        <f t="shared" ca="1" si="7"/>
        <v>6260</v>
      </c>
      <c r="O46" s="45">
        <f t="shared" ca="1" si="7"/>
        <v>4860</v>
      </c>
      <c r="P46" s="45">
        <f ca="1">SUM(C46:O46)</f>
        <v>249860</v>
      </c>
    </row>
    <row r="48" spans="2:16" ht="19.5" customHeight="1" x14ac:dyDescent="0.25">
      <c r="B48" s="63" t="s">
        <v>148</v>
      </c>
      <c r="C48" s="64">
        <f t="shared" ref="C48:O48" ca="1" si="8">C16-C46</f>
        <v>71700</v>
      </c>
      <c r="D48" s="64">
        <f t="shared" ca="1" si="8"/>
        <v>34510</v>
      </c>
      <c r="E48" s="64">
        <f t="shared" ca="1" si="8"/>
        <v>-35890</v>
      </c>
      <c r="F48" s="64">
        <f t="shared" ca="1" si="8"/>
        <v>-51940</v>
      </c>
      <c r="G48" s="64">
        <f t="shared" ca="1" si="8"/>
        <v>-5160</v>
      </c>
      <c r="H48" s="64">
        <f t="shared" ca="1" si="8"/>
        <v>-4160</v>
      </c>
      <c r="I48" s="64">
        <f t="shared" ca="1" si="8"/>
        <v>-6260</v>
      </c>
      <c r="J48" s="64">
        <f t="shared" ca="1" si="8"/>
        <v>-4860</v>
      </c>
      <c r="K48" s="64">
        <f t="shared" ca="1" si="8"/>
        <v>-4560</v>
      </c>
      <c r="L48" s="64">
        <f t="shared" ca="1" si="8"/>
        <v>-2960</v>
      </c>
      <c r="M48" s="64">
        <f t="shared" ca="1" si="8"/>
        <v>-4160</v>
      </c>
      <c r="N48" s="64">
        <f t="shared" ca="1" si="8"/>
        <v>-6260</v>
      </c>
      <c r="O48" s="64">
        <f t="shared" ca="1" si="8"/>
        <v>-4860</v>
      </c>
      <c r="P48" s="64">
        <f ca="1">SUM(C48:O48)</f>
        <v>-24860</v>
      </c>
    </row>
    <row r="50" spans="2:16" ht="19.5" customHeight="1" x14ac:dyDescent="0.25">
      <c r="B50" s="60" t="s">
        <v>149</v>
      </c>
      <c r="C50" s="45">
        <f>Assumptions!C9</f>
        <v>75000</v>
      </c>
      <c r="D50" s="45">
        <f t="shared" ref="D50:O50" ca="1" si="9">C51</f>
        <v>146700</v>
      </c>
      <c r="E50" s="45">
        <f t="shared" ca="1" si="9"/>
        <v>181210</v>
      </c>
      <c r="F50" s="45">
        <f t="shared" ca="1" si="9"/>
        <v>145320</v>
      </c>
      <c r="G50" s="45">
        <f t="shared" ca="1" si="9"/>
        <v>93380</v>
      </c>
      <c r="H50" s="45">
        <f t="shared" ca="1" si="9"/>
        <v>88220</v>
      </c>
      <c r="I50" s="45">
        <f t="shared" ca="1" si="9"/>
        <v>84060</v>
      </c>
      <c r="J50" s="45">
        <f t="shared" ca="1" si="9"/>
        <v>77800</v>
      </c>
      <c r="K50" s="45">
        <f t="shared" ca="1" si="9"/>
        <v>72940</v>
      </c>
      <c r="L50" s="45">
        <f t="shared" ca="1" si="9"/>
        <v>68380</v>
      </c>
      <c r="M50" s="45">
        <f t="shared" ca="1" si="9"/>
        <v>65420</v>
      </c>
      <c r="N50" s="45">
        <f t="shared" ca="1" si="9"/>
        <v>61260</v>
      </c>
      <c r="O50" s="45">
        <f t="shared" ca="1" si="9"/>
        <v>55000</v>
      </c>
      <c r="P50" s="45">
        <f>C50</f>
        <v>75000</v>
      </c>
    </row>
    <row r="51" spans="2:16" ht="24" customHeight="1" x14ac:dyDescent="0.25">
      <c r="B51" s="65" t="s">
        <v>150</v>
      </c>
      <c r="C51" s="66">
        <f t="shared" ref="C51:P51" ca="1" si="10">C50+C48</f>
        <v>146700</v>
      </c>
      <c r="D51" s="66">
        <f t="shared" ca="1" si="10"/>
        <v>181210</v>
      </c>
      <c r="E51" s="66">
        <f t="shared" ca="1" si="10"/>
        <v>145320</v>
      </c>
      <c r="F51" s="66">
        <f t="shared" ca="1" si="10"/>
        <v>93380</v>
      </c>
      <c r="G51" s="66">
        <f t="shared" ca="1" si="10"/>
        <v>88220</v>
      </c>
      <c r="H51" s="66">
        <f t="shared" ca="1" si="10"/>
        <v>84060</v>
      </c>
      <c r="I51" s="66">
        <f t="shared" ca="1" si="10"/>
        <v>77800</v>
      </c>
      <c r="J51" s="66">
        <f t="shared" ca="1" si="10"/>
        <v>72940</v>
      </c>
      <c r="K51" s="66">
        <f t="shared" ca="1" si="10"/>
        <v>68380</v>
      </c>
      <c r="L51" s="66">
        <f t="shared" ca="1" si="10"/>
        <v>65420</v>
      </c>
      <c r="M51" s="66">
        <f t="shared" ca="1" si="10"/>
        <v>61260</v>
      </c>
      <c r="N51" s="66">
        <f t="shared" ca="1" si="10"/>
        <v>55000</v>
      </c>
      <c r="O51" s="66">
        <f t="shared" ca="1" si="10"/>
        <v>50140</v>
      </c>
      <c r="P51" s="66">
        <f t="shared" ca="1" si="10"/>
        <v>50140</v>
      </c>
    </row>
    <row r="52" spans="2:16" ht="18" customHeight="1" x14ac:dyDescent="0.25">
      <c r="B52" s="67" t="s">
        <v>151</v>
      </c>
      <c r="C52" s="68">
        <f>Assumptions!C10</f>
        <v>25000</v>
      </c>
      <c r="D52" s="68">
        <f>Assumptions!C10</f>
        <v>25000</v>
      </c>
      <c r="E52" s="68">
        <f>Assumptions!C10</f>
        <v>25000</v>
      </c>
      <c r="F52" s="68">
        <f>Assumptions!C10</f>
        <v>25000</v>
      </c>
      <c r="G52" s="68">
        <f>Assumptions!C10</f>
        <v>25000</v>
      </c>
      <c r="H52" s="68">
        <f>Assumptions!C10</f>
        <v>25000</v>
      </c>
      <c r="I52" s="68">
        <f>Assumptions!C10</f>
        <v>25000</v>
      </c>
      <c r="J52" s="68">
        <f>Assumptions!C10</f>
        <v>25000</v>
      </c>
      <c r="K52" s="68">
        <f>Assumptions!C10</f>
        <v>25000</v>
      </c>
      <c r="L52" s="68">
        <f>Assumptions!C10</f>
        <v>25000</v>
      </c>
      <c r="M52" s="68">
        <f>Assumptions!C10</f>
        <v>25000</v>
      </c>
      <c r="N52" s="68">
        <f>Assumptions!C10</f>
        <v>25000</v>
      </c>
      <c r="O52" s="68">
        <f>Assumptions!C10</f>
        <v>25000</v>
      </c>
      <c r="P52" s="68">
        <f>Assumptions!C10</f>
        <v>25000</v>
      </c>
    </row>
    <row r="53" spans="2:16" ht="18" customHeight="1" x14ac:dyDescent="0.25">
      <c r="B53" s="69" t="s">
        <v>152</v>
      </c>
      <c r="C53" s="70" t="str">
        <f t="shared" ref="C53:O53" ca="1" si="11">IF(C51&lt;C52,"⚠ LOW","")</f>
        <v/>
      </c>
      <c r="D53" s="70" t="str">
        <f t="shared" ca="1" si="11"/>
        <v/>
      </c>
      <c r="E53" s="70" t="str">
        <f t="shared" ca="1" si="11"/>
        <v/>
      </c>
      <c r="F53" s="70" t="str">
        <f t="shared" ca="1" si="11"/>
        <v/>
      </c>
      <c r="G53" s="70" t="str">
        <f t="shared" ca="1" si="11"/>
        <v/>
      </c>
      <c r="H53" s="70" t="str">
        <f t="shared" ca="1" si="11"/>
        <v/>
      </c>
      <c r="I53" s="70" t="str">
        <f t="shared" ca="1" si="11"/>
        <v/>
      </c>
      <c r="J53" s="70" t="str">
        <f t="shared" ca="1" si="11"/>
        <v/>
      </c>
      <c r="K53" s="70" t="str">
        <f t="shared" ca="1" si="11"/>
        <v/>
      </c>
      <c r="L53" s="70" t="str">
        <f t="shared" ca="1" si="11"/>
        <v/>
      </c>
      <c r="M53" s="70" t="str">
        <f t="shared" ca="1" si="11"/>
        <v/>
      </c>
      <c r="N53" s="70" t="str">
        <f t="shared" ca="1" si="11"/>
        <v/>
      </c>
      <c r="O53" s="70" t="str">
        <f t="shared" ca="1" si="11"/>
        <v/>
      </c>
      <c r="P53" s="71"/>
    </row>
    <row r="55" spans="2:16" x14ac:dyDescent="0.25">
      <c r="B55" s="72" t="s">
        <v>153</v>
      </c>
    </row>
    <row r="56" spans="2:16" x14ac:dyDescent="0.25">
      <c r="B56" s="73" t="s">
        <v>154</v>
      </c>
    </row>
  </sheetData>
  <mergeCells count="4">
    <mergeCell ref="B10:P10"/>
    <mergeCell ref="B18:P18"/>
    <mergeCell ref="B27:P27"/>
    <mergeCell ref="B39:P39"/>
  </mergeCells>
  <conditionalFormatting sqref="C51:O51">
    <cfRule type="expression" dxfId="0" priority="2">
      <formula>C51&lt;C52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C2C2C"/>
  </sheetPr>
  <dimension ref="A1:J30"/>
  <sheetViews>
    <sheetView showGridLines="0" zoomScaleNormal="100" workbookViewId="0"/>
  </sheetViews>
  <sheetFormatPr defaultColWidth="8.7109375" defaultRowHeight="15" x14ac:dyDescent="0.25"/>
  <cols>
    <col min="1" max="1" width="3" customWidth="1"/>
    <col min="2" max="9" width="18" customWidth="1"/>
    <col min="10" max="10" width="3" customWidth="1"/>
  </cols>
  <sheetData>
    <row r="1" spans="1:10" ht="7.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</row>
    <row r="2" spans="1:10" ht="15" customHeight="1" x14ac:dyDescent="0.25">
      <c r="A2" s="13"/>
      <c r="B2" s="13"/>
      <c r="C2" s="13"/>
      <c r="D2" s="19" t="s">
        <v>0</v>
      </c>
      <c r="E2" s="13"/>
      <c r="F2" s="13"/>
      <c r="G2" s="13"/>
      <c r="H2" s="13"/>
      <c r="I2" s="13"/>
      <c r="J2" s="13"/>
    </row>
    <row r="3" spans="1:10" ht="1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ht="15" customHeight="1" x14ac:dyDescent="0.25">
      <c r="A4" s="13"/>
      <c r="B4" s="13"/>
      <c r="C4" s="13"/>
      <c r="D4" s="20" t="s">
        <v>155</v>
      </c>
      <c r="E4" s="13"/>
      <c r="F4" s="13"/>
      <c r="G4" s="13"/>
      <c r="H4" s="13"/>
      <c r="I4" s="13"/>
      <c r="J4" s="13"/>
    </row>
    <row r="5" spans="1:10" ht="1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0" ht="1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</row>
    <row r="8" spans="1:10" ht="13.5" customHeight="1" x14ac:dyDescent="0.25">
      <c r="B8" s="5" t="s">
        <v>156</v>
      </c>
      <c r="C8" s="5"/>
      <c r="D8" s="4" t="s">
        <v>157</v>
      </c>
      <c r="E8" s="4"/>
      <c r="F8" s="3" t="s">
        <v>158</v>
      </c>
      <c r="G8" s="3"/>
      <c r="H8" s="2" t="s">
        <v>159</v>
      </c>
      <c r="I8" s="2"/>
    </row>
    <row r="9" spans="1:10" ht="27.75" customHeight="1" x14ac:dyDescent="0.25">
      <c r="B9" s="1">
        <f>'Cash Flow Forecast'!C50</f>
        <v>75000</v>
      </c>
      <c r="C9" s="1"/>
      <c r="D9" s="80">
        <f ca="1">'Cash Flow Forecast'!O51</f>
        <v>50140</v>
      </c>
      <c r="E9" s="80"/>
      <c r="F9" s="81">
        <f ca="1">'Cash Flow Forecast'!P16</f>
        <v>225000</v>
      </c>
      <c r="G9" s="81"/>
      <c r="H9" s="82">
        <f ca="1">'Cash Flow Forecast'!P46</f>
        <v>249860</v>
      </c>
      <c r="I9" s="82"/>
    </row>
    <row r="10" spans="1:10" ht="12" customHeight="1" x14ac:dyDescent="0.25">
      <c r="B10" s="43"/>
      <c r="C10" s="43"/>
      <c r="D10" s="74"/>
      <c r="E10" s="74"/>
      <c r="F10" s="75"/>
      <c r="G10" s="75"/>
      <c r="H10" s="76"/>
      <c r="I10" s="76"/>
    </row>
    <row r="12" spans="1:10" ht="13.5" customHeight="1" x14ac:dyDescent="0.25">
      <c r="B12" s="83" t="s">
        <v>160</v>
      </c>
      <c r="C12" s="83"/>
      <c r="D12" s="84" t="s">
        <v>161</v>
      </c>
      <c r="E12" s="84"/>
    </row>
    <row r="13" spans="1:10" ht="27.75" customHeight="1" x14ac:dyDescent="0.25">
      <c r="B13" s="85">
        <f ca="1">'Cash Flow Forecast'!P48</f>
        <v>-24860</v>
      </c>
      <c r="C13" s="85"/>
      <c r="D13" s="86">
        <f>Assumptions!C10</f>
        <v>25000</v>
      </c>
      <c r="E13" s="86"/>
    </row>
    <row r="14" spans="1:10" ht="12" customHeight="1" x14ac:dyDescent="0.25">
      <c r="B14" s="78"/>
      <c r="C14" s="78"/>
      <c r="D14" s="79"/>
      <c r="E14" s="79"/>
    </row>
    <row r="20" spans="2:9" ht="21.75" customHeight="1" x14ac:dyDescent="0.25">
      <c r="B20" s="87" t="s">
        <v>162</v>
      </c>
      <c r="C20" s="87"/>
      <c r="D20" s="87"/>
      <c r="E20" s="87"/>
      <c r="F20" s="87"/>
      <c r="G20" s="87"/>
      <c r="H20" s="87"/>
      <c r="I20" s="87"/>
    </row>
    <row r="21" spans="2:9" ht="27.75" customHeight="1" x14ac:dyDescent="0.25">
      <c r="B21" s="88" t="s">
        <v>163</v>
      </c>
      <c r="C21" s="88"/>
      <c r="D21" s="88" t="s">
        <v>164</v>
      </c>
      <c r="E21" s="88"/>
      <c r="F21" s="88" t="s">
        <v>165</v>
      </c>
      <c r="G21" s="88"/>
      <c r="H21" s="88" t="s">
        <v>166</v>
      </c>
      <c r="I21" s="88"/>
    </row>
    <row r="22" spans="2:9" ht="27.75" customHeight="1" x14ac:dyDescent="0.25">
      <c r="B22" s="89">
        <f ca="1">MIN('Cash Flow Forecast'!C51:O51)</f>
        <v>50140</v>
      </c>
      <c r="C22" s="89"/>
      <c r="D22" s="90">
        <f ca="1">MATCH(MIN('Cash Flow Forecast'!C51:O51),'Cash Flow Forecast'!C51:O51,0)</f>
        <v>13</v>
      </c>
      <c r="E22" s="90"/>
      <c r="F22" s="90" t="str">
        <f ca="1">IF(MIN('Cash Flow Forecast'!C51:O51)&lt;Assumptions!C10,"⚠ YES — Take Action","✓ No")</f>
        <v>✓ No</v>
      </c>
      <c r="G22" s="90"/>
      <c r="H22" s="90">
        <f ca="1">SUMPRODUCT(--('Cash Flow Forecast'!C51:O51&lt;'Cash Flow Forecast'!C52:O52))</f>
        <v>0</v>
      </c>
      <c r="I22" s="90"/>
    </row>
    <row r="24" spans="2:9" ht="19.5" customHeight="1" x14ac:dyDescent="0.25">
      <c r="B24" s="87" t="s">
        <v>167</v>
      </c>
      <c r="C24" s="87"/>
      <c r="D24" s="87"/>
      <c r="E24" s="87"/>
      <c r="F24" s="87"/>
      <c r="G24" s="87"/>
      <c r="H24" s="87"/>
      <c r="I24" s="87"/>
    </row>
    <row r="25" spans="2:9" ht="15" customHeight="1" x14ac:dyDescent="0.25">
      <c r="B25" s="77" t="s">
        <v>101</v>
      </c>
      <c r="C25" s="77" t="s">
        <v>102</v>
      </c>
      <c r="D25" s="77" t="s">
        <v>103</v>
      </c>
      <c r="E25" s="77" t="s">
        <v>104</v>
      </c>
      <c r="F25" s="77" t="s">
        <v>105</v>
      </c>
      <c r="G25" s="77" t="s">
        <v>106</v>
      </c>
      <c r="H25" s="77" t="s">
        <v>107</v>
      </c>
    </row>
    <row r="26" spans="2:9" ht="19.5" customHeight="1" x14ac:dyDescent="0.25">
      <c r="B26" s="59" t="str">
        <f>'Cash Flow Forecast'!B51</f>
        <v>ENDING CASH BALANCE</v>
      </c>
      <c r="C26" s="59">
        <f ca="1">'Cash Flow Forecast'!C51</f>
        <v>146700</v>
      </c>
      <c r="D26" s="59">
        <f ca="1">'Cash Flow Forecast'!D51</f>
        <v>181210</v>
      </c>
      <c r="E26" s="59">
        <f ca="1">'Cash Flow Forecast'!E51</f>
        <v>145320</v>
      </c>
      <c r="F26" s="59">
        <f ca="1">'Cash Flow Forecast'!F51</f>
        <v>93380</v>
      </c>
      <c r="G26" s="59">
        <f ca="1">'Cash Flow Forecast'!G51</f>
        <v>88220</v>
      </c>
      <c r="H26" s="59">
        <f ca="1">'Cash Flow Forecast'!H51</f>
        <v>84060</v>
      </c>
    </row>
    <row r="27" spans="2:9" ht="15" customHeight="1" x14ac:dyDescent="0.25">
      <c r="B27" s="77" t="s">
        <v>108</v>
      </c>
      <c r="C27" s="77" t="s">
        <v>109</v>
      </c>
      <c r="D27" s="77" t="s">
        <v>110</v>
      </c>
      <c r="E27" s="77" t="s">
        <v>111</v>
      </c>
      <c r="F27" s="77" t="s">
        <v>112</v>
      </c>
      <c r="G27" s="77" t="s">
        <v>113</v>
      </c>
      <c r="H27" s="77" t="s">
        <v>168</v>
      </c>
    </row>
    <row r="28" spans="2:9" ht="19.5" customHeight="1" x14ac:dyDescent="0.25">
      <c r="B28" s="59">
        <f ca="1">'Cash Flow Forecast'!I51</f>
        <v>77800</v>
      </c>
      <c r="C28" s="59">
        <f ca="1">'Cash Flow Forecast'!J51</f>
        <v>72940</v>
      </c>
      <c r="D28" s="59">
        <f ca="1">'Cash Flow Forecast'!K51</f>
        <v>68380</v>
      </c>
      <c r="E28" s="59">
        <f ca="1">'Cash Flow Forecast'!L51</f>
        <v>65420</v>
      </c>
      <c r="F28" s="59">
        <f ca="1">'Cash Flow Forecast'!M51</f>
        <v>61260</v>
      </c>
      <c r="G28" s="59">
        <f ca="1">'Cash Flow Forecast'!N51</f>
        <v>55000</v>
      </c>
      <c r="H28" s="59">
        <f ca="1">'Cash Flow Forecast'!P51</f>
        <v>50140</v>
      </c>
    </row>
    <row r="30" spans="2:9" x14ac:dyDescent="0.25">
      <c r="B30" s="91" t="s">
        <v>169</v>
      </c>
      <c r="C30" s="91"/>
      <c r="D30" s="91"/>
      <c r="E30" s="91"/>
      <c r="F30" s="91"/>
      <c r="G30" s="91"/>
      <c r="H30" s="91"/>
      <c r="I30" s="91"/>
    </row>
  </sheetData>
  <mergeCells count="23">
    <mergeCell ref="B24:I24"/>
    <mergeCell ref="B30:I30"/>
    <mergeCell ref="B21:C21"/>
    <mergeCell ref="D21:E21"/>
    <mergeCell ref="F21:G21"/>
    <mergeCell ref="H21:I21"/>
    <mergeCell ref="B22:C22"/>
    <mergeCell ref="D22:E22"/>
    <mergeCell ref="F22:G22"/>
    <mergeCell ref="H22:I22"/>
    <mergeCell ref="B12:C12"/>
    <mergeCell ref="D12:E12"/>
    <mergeCell ref="B13:C13"/>
    <mergeCell ref="D13:E13"/>
    <mergeCell ref="B20:I20"/>
    <mergeCell ref="B8:C8"/>
    <mergeCell ref="D8:E8"/>
    <mergeCell ref="F8:G8"/>
    <mergeCell ref="H8:I8"/>
    <mergeCell ref="B9:C9"/>
    <mergeCell ref="D9:E9"/>
    <mergeCell ref="F9:G9"/>
    <mergeCell ref="H9:I9"/>
  </mergeCells>
  <hyperlinks>
    <hyperlink ref="B30" r:id="rId1" xr:uid="{00000000-0004-0000-0400-000000000000}"/>
  </hyperlinks>
  <pageMargins left="0.75" right="0.75" top="1" bottom="1" header="0.511811023622047" footer="0.511811023622047"/>
  <pageSetup paperSize="9" orientation="portrait" horizontalDpi="300" verticalDpi="30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 HERE</vt:lpstr>
      <vt:lpstr>Assumptions</vt:lpstr>
      <vt:lpstr>Job Tracker</vt:lpstr>
      <vt:lpstr>Cash Flow Forecast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Ron Wilburn</cp:lastModifiedBy>
  <cp:revision>0</cp:revision>
  <dcterms:created xsi:type="dcterms:W3CDTF">2026-06-16T17:47:21Z</dcterms:created>
  <dcterms:modified xsi:type="dcterms:W3CDTF">2026-06-16T18:28:39Z</dcterms:modified>
  <dc:language>en-US</dc:language>
</cp:coreProperties>
</file>